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researchtriangleinstitute-my.sharepoint.com/personal/jmckay_rti_org/Documents/Desktop/"/>
    </mc:Choice>
  </mc:AlternateContent>
  <xr:revisionPtr revIDLastSave="2" documentId="8_{4B71CD9E-AB9B-429C-AFFD-B4F9FEE72845}" xr6:coauthVersionLast="47" xr6:coauthVersionMax="47" xr10:uidLastSave="{6F9CA8CE-4C82-43E7-93EA-CBA8A1C372FD}"/>
  <bookViews>
    <workbookView xWindow="10260" yWindow="360" windowWidth="31275" windowHeight="19455" xr2:uid="{A1C6C5E1-DB21-421D-A095-D2AD0C7F58C1}"/>
  </bookViews>
  <sheets>
    <sheet name="User Input" sheetId="8" r:id="rId1"/>
    <sheet name="Inputs summary" sheetId="6" state="hidden" r:id="rId2"/>
    <sheet name="Cost+CODIS calculations by step" sheetId="7" state="hidden" r:id="rId3"/>
    <sheet name="Results" sheetId="3"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5" i="8" l="1"/>
  <c r="A60" i="8"/>
  <c r="B23" i="6"/>
  <c r="B22" i="6"/>
  <c r="B13" i="6"/>
  <c r="B12" i="6"/>
  <c r="B11" i="6"/>
  <c r="B10" i="6"/>
  <c r="B9" i="6"/>
  <c r="B8" i="6"/>
  <c r="B7" i="6"/>
  <c r="B6" i="6"/>
  <c r="G9" i="3"/>
  <c r="A141" i="8"/>
  <c r="A140" i="8"/>
  <c r="A139" i="8"/>
  <c r="A138" i="8"/>
  <c r="A137" i="8"/>
  <c r="A136" i="8"/>
  <c r="A135" i="8"/>
  <c r="A134" i="8"/>
  <c r="A132" i="8"/>
  <c r="A131" i="8"/>
  <c r="A130" i="8"/>
  <c r="A129" i="8"/>
  <c r="A128" i="8"/>
  <c r="A127" i="8"/>
  <c r="A126" i="8"/>
  <c r="A125" i="8"/>
  <c r="A123" i="8"/>
  <c r="A122" i="8"/>
  <c r="A121" i="8"/>
  <c r="A120" i="8"/>
  <c r="A119" i="8"/>
  <c r="A118" i="8"/>
  <c r="A117" i="8"/>
  <c r="A116" i="8"/>
  <c r="A114" i="8"/>
  <c r="A113" i="8"/>
  <c r="A112" i="8"/>
  <c r="A111" i="8"/>
  <c r="A110" i="8"/>
  <c r="A109" i="8"/>
  <c r="A108" i="8"/>
  <c r="A107" i="8"/>
  <c r="A105" i="8"/>
  <c r="A104" i="8"/>
  <c r="A103" i="8"/>
  <c r="A102" i="8"/>
  <c r="A101" i="8"/>
  <c r="A100" i="8"/>
  <c r="A99" i="8"/>
  <c r="A98" i="8"/>
  <c r="A96" i="8"/>
  <c r="A95" i="8"/>
  <c r="A94" i="8"/>
  <c r="A93" i="8"/>
  <c r="A92" i="8"/>
  <c r="A91" i="8"/>
  <c r="A90" i="8"/>
  <c r="A89" i="8"/>
  <c r="A87" i="8"/>
  <c r="A86" i="8"/>
  <c r="A85" i="8"/>
  <c r="A84" i="8"/>
  <c r="A83" i="8"/>
  <c r="A82" i="8"/>
  <c r="A81" i="8"/>
  <c r="A80" i="8"/>
  <c r="A78" i="8"/>
  <c r="A77" i="8"/>
  <c r="A76" i="8"/>
  <c r="A75" i="8"/>
  <c r="A74" i="8"/>
  <c r="A73" i="8"/>
  <c r="A72" i="8"/>
  <c r="A71" i="8"/>
  <c r="A69" i="8"/>
  <c r="A68" i="8"/>
  <c r="A67" i="8"/>
  <c r="A66" i="8"/>
  <c r="A65" i="8"/>
  <c r="A64" i="8"/>
  <c r="A63" i="8"/>
  <c r="A62" i="8"/>
  <c r="A59" i="8"/>
  <c r="A58" i="8"/>
  <c r="A57" i="8"/>
  <c r="A56" i="8"/>
  <c r="A55" i="8"/>
  <c r="A54" i="8"/>
  <c r="A53" i="8"/>
  <c r="A51" i="8"/>
  <c r="A50" i="8"/>
  <c r="A49" i="8"/>
  <c r="A48" i="8"/>
  <c r="A47" i="8"/>
  <c r="A46" i="8"/>
  <c r="A44" i="8"/>
  <c r="D33" i="8"/>
  <c r="B31" i="6"/>
  <c r="B30" i="6"/>
  <c r="D34" i="8"/>
  <c r="D35" i="8"/>
  <c r="D36" i="8"/>
  <c r="D37" i="8"/>
  <c r="D38" i="8"/>
  <c r="D39" i="8"/>
  <c r="D40" i="8"/>
  <c r="C25" i="8"/>
  <c r="B25" i="6"/>
  <c r="B22" i="7"/>
  <c r="B32" i="6"/>
  <c r="B12" i="7"/>
  <c r="B28" i="6"/>
  <c r="B29" i="6"/>
  <c r="B27" i="6"/>
  <c r="B5" i="7"/>
  <c r="B31" i="7"/>
  <c r="B17" i="6"/>
  <c r="B11" i="7" s="1"/>
  <c r="B27" i="7" s="1"/>
  <c r="B32" i="7"/>
  <c r="B19" i="6"/>
  <c r="B18" i="7" s="1"/>
  <c r="B16" i="6"/>
  <c r="B8" i="7" s="1"/>
  <c r="B20" i="6"/>
  <c r="B21" i="7"/>
  <c r="B15" i="6"/>
  <c r="B4" i="7" s="1"/>
  <c r="B18" i="6"/>
  <c r="B15" i="7" s="1"/>
  <c r="B26" i="3"/>
  <c r="B51" i="3" s="1"/>
  <c r="B25" i="3"/>
  <c r="B48" i="3" s="1"/>
  <c r="B24" i="3"/>
  <c r="B23" i="3"/>
  <c r="E23" i="3" s="1"/>
  <c r="E29" i="3" s="1"/>
  <c r="B52" i="3"/>
  <c r="B32" i="3"/>
  <c r="B30" i="3"/>
  <c r="E24" i="3"/>
  <c r="E30" i="3"/>
  <c r="B26" i="7" l="1"/>
  <c r="B19" i="3"/>
  <c r="B20" i="3"/>
  <c r="E26" i="3"/>
  <c r="E32" i="3" s="1"/>
  <c r="B50" i="3"/>
  <c r="E25" i="3"/>
  <c r="E31" i="3" s="1"/>
  <c r="B29" i="3"/>
  <c r="B31" i="3"/>
  <c r="B47" i="3"/>
  <c r="B49" i="3"/>
  <c r="B18" i="3" l="1"/>
  <c r="B41" i="3" s="1"/>
  <c r="B17" i="3"/>
  <c r="B70" i="3"/>
  <c r="B61" i="3"/>
  <c r="B40" i="3"/>
  <c r="B43" i="3"/>
  <c r="E20" i="3"/>
  <c r="B58" i="3"/>
  <c r="B57" i="3"/>
  <c r="B69" i="3"/>
  <c r="E19" i="3"/>
  <c r="B39" i="3"/>
  <c r="B60" i="3" l="1"/>
  <c r="B59" i="3"/>
  <c r="B42" i="3"/>
  <c r="B56" i="3"/>
  <c r="B68" i="3"/>
  <c r="B38" i="3"/>
  <c r="E18" i="3"/>
  <c r="B67" i="3"/>
  <c r="E17" i="3"/>
</calcChain>
</file>

<file path=xl/sharedStrings.xml><?xml version="1.0" encoding="utf-8"?>
<sst xmlns="http://schemas.openxmlformats.org/spreadsheetml/2006/main" count="221" uniqueCount="153">
  <si>
    <t xml:space="preserve">USER INPUT WORKSHEET  </t>
  </si>
  <si>
    <t>SAK requests and CODIS outcomes</t>
  </si>
  <si>
    <t>Total SAK requests in a typical year</t>
  </si>
  <si>
    <t xml:space="preserve">             </t>
  </si>
  <si>
    <t>Enter total SAK requests in a typical year.</t>
  </si>
  <si>
    <t>Completed SAK requests in a typical year</t>
  </si>
  <si>
    <t>Enter completed SAK requests in a typical year.</t>
  </si>
  <si>
    <t>Enter SAK requests that resulted in a CODIS-eligible profile.</t>
  </si>
  <si>
    <t xml:space="preserve"> </t>
  </si>
  <si>
    <t>Subgroup 1: CODIS forensic hit</t>
  </si>
  <si>
    <t>Definition: A case to case hit or hit to a forensic evidence sample.</t>
  </si>
  <si>
    <t>Subgroup 2: Offender hit</t>
  </si>
  <si>
    <t>Definition: A hit to a convicted offender.</t>
  </si>
  <si>
    <t>Current workflow type</t>
  </si>
  <si>
    <t>Yes</t>
  </si>
  <si>
    <t>Use the dropdown menu choice in cell B16 for your response.</t>
  </si>
  <si>
    <t>No</t>
  </si>
  <si>
    <t>Use the dropdown menu choice in cell B17 for your response.</t>
  </si>
  <si>
    <t>Stage 1: Percentage of SAK requests that were stopped at serology (if serology is conducted as part of standard workflow)</t>
  </si>
  <si>
    <t>Stage 3: Percentage of SAK requests that did not yield a CODIS-eligible profile after analysis</t>
  </si>
  <si>
    <t>Stage 4: Percentage of SAK requests that yielded a CODIS-eligible profile that was uploaded to CODIS</t>
  </si>
  <si>
    <t>STOP! Check that all stages sum to 100.0%</t>
  </si>
  <si>
    <t>Batch size for DNA extraction</t>
  </si>
  <si>
    <t>Batch size for DNA quantification</t>
  </si>
  <si>
    <t>Batch size when conducting PCR for STR amplification</t>
  </si>
  <si>
    <t>Low</t>
  </si>
  <si>
    <t>High</t>
  </si>
  <si>
    <t xml:space="preserve">Median Annual Salary </t>
  </si>
  <si>
    <t>Technician or equivalent</t>
  </si>
  <si>
    <t>Serology analyst or equivalent</t>
  </si>
  <si>
    <t>DNA analyst or equivalent</t>
  </si>
  <si>
    <t>Casework CODIS administrator or equivalent</t>
  </si>
  <si>
    <t>Technical leader or equivalent</t>
  </si>
  <si>
    <t>Section supervisor or equivalent</t>
  </si>
  <si>
    <t>Lab manager or equivalent</t>
  </si>
  <si>
    <t>Other</t>
  </si>
  <si>
    <t>Hours for serology per SAK request</t>
  </si>
  <si>
    <t>Hours for serology report per SAK request</t>
  </si>
  <si>
    <t>Hours for DNA extraction per SAK request or batch</t>
  </si>
  <si>
    <t>Enter the typical labor hours used by each lab role to complete this task or set of tasks. For lab roles that do not contribute to this task, enter 0.00 hours.</t>
  </si>
  <si>
    <t>Hours for PCR per SAK request or batch</t>
  </si>
  <si>
    <t>Hours for STR prep and run per SAK request</t>
  </si>
  <si>
    <t>Hours for STR data analysis per SAK request</t>
  </si>
  <si>
    <t>Hours for DNA report per SAK request</t>
  </si>
  <si>
    <t>Hours for administrative or technical review</t>
  </si>
  <si>
    <t>Hours for CODIS data entry</t>
  </si>
  <si>
    <t>Hours to verify/review CODIS hit reports</t>
  </si>
  <si>
    <t>END OF USER INPUTS</t>
  </si>
  <si>
    <t>SAK Worflow Calculator Inputs</t>
  </si>
  <si>
    <t>High/Low Variation Variable</t>
  </si>
  <si>
    <t>Base Case</t>
  </si>
  <si>
    <t>Notes:</t>
  </si>
  <si>
    <t>Hourly wage by job description ($/hour)</t>
  </si>
  <si>
    <t>Technical Leader or equivalent</t>
  </si>
  <si>
    <t>Lab Manager or equivalent</t>
  </si>
  <si>
    <t>Other 1</t>
  </si>
  <si>
    <t>Labor cost by workflow step ($)</t>
  </si>
  <si>
    <t>Step 1: Serology</t>
  </si>
  <si>
    <t>Step 2: DNA Extraction</t>
  </si>
  <si>
    <t>Step 3: DNA Quantification</t>
  </si>
  <si>
    <t>Step 4: PCR</t>
  </si>
  <si>
    <t>Step 5: STR and administrative and technical review</t>
  </si>
  <si>
    <t>Step 6: CODIS upload, verification, and review</t>
  </si>
  <si>
    <t>Probabilities for Passing Screening Steps</t>
  </si>
  <si>
    <t>This has been set to 0.90 if the lab reported that it uses direct to DNA. It will only be used to demonstrate the potential cost of switching back to including a serology screening step for all SAKs.</t>
  </si>
  <si>
    <t>Step 3b: DNA Quantification - Direct to DNA</t>
  </si>
  <si>
    <t>This row and above row have been set to a lower variation variable (not cell B2) due to the high probability and issue with going over 1.0.</t>
  </si>
  <si>
    <t>Probability of CODIS Upload</t>
  </si>
  <si>
    <t>Step 6: CODIS Upload (passed previous screening steps and uploaded)</t>
  </si>
  <si>
    <t>Additional Inputs used to calculate results</t>
  </si>
  <si>
    <t>Batch size for PCR step for STR amplification</t>
  </si>
  <si>
    <t>Additional Samples per SAK for Exhaustive Sampling</t>
  </si>
  <si>
    <t>Probability of passing screening steps and getting a CODIS upload per additional sample after the first sample (or set of samples) are negative within a SAK.</t>
  </si>
  <si>
    <t>Approximate SAKs per Year</t>
  </si>
  <si>
    <t>Costs and probability of passing each workflow step</t>
  </si>
  <si>
    <t>Serology labor cost</t>
  </si>
  <si>
    <t>Probability of Passing Screening Step</t>
  </si>
  <si>
    <t>Total DNA Extraction Cost</t>
  </si>
  <si>
    <t>Total DNA Quantification Cost</t>
  </si>
  <si>
    <t>Probability of Passing Screening Step (direct to DNA)</t>
  </si>
  <si>
    <t>Total PCR Cost</t>
  </si>
  <si>
    <t>Step 5: STR</t>
  </si>
  <si>
    <t>Total STR Cost</t>
  </si>
  <si>
    <t>Step 6: CODIS Upload</t>
  </si>
  <si>
    <t>Total CODIS Upload Cost</t>
  </si>
  <si>
    <t>Cost Results</t>
  </si>
  <si>
    <t>Expected Costs per SAK (with Serology)</t>
  </si>
  <si>
    <t>Expected Costs per SAK (Direct to DNA)</t>
  </si>
  <si>
    <t>CODIS Upload Results per 100 SAKs</t>
  </si>
  <si>
    <t>Expected CODIS Uploads per 100 SAKs (with Serology)</t>
  </si>
  <si>
    <t>Expected CODIS Uploads per 100 SAKs (Direct to DNA)</t>
  </si>
  <si>
    <t>1) Cost and CODIS results by workflow</t>
  </si>
  <si>
    <t>Results per 100 SAKs</t>
  </si>
  <si>
    <t>Results per year</t>
  </si>
  <si>
    <t>Cost results</t>
  </si>
  <si>
    <t>Expected cost per 100 SAKs</t>
  </si>
  <si>
    <t>Expected SAK costs per year</t>
  </si>
  <si>
    <t>Interpreting results</t>
  </si>
  <si>
    <t>Workflow</t>
  </si>
  <si>
    <t>Median</t>
  </si>
  <si>
    <t>Serology screening</t>
  </si>
  <si>
    <t>Serology screening with continuous sampling</t>
  </si>
  <si>
    <t>Direct-to-DNA</t>
  </si>
  <si>
    <t>Direct-to-DNA with continuous sampling</t>
  </si>
  <si>
    <t>CODIS upload results</t>
  </si>
  <si>
    <t>Expected CODIS uploads per year</t>
  </si>
  <si>
    <t>CODIS forensic and offender hit results</t>
  </si>
  <si>
    <t>Expected CODIS forensic and offender hits per 100 SAKs</t>
  </si>
  <si>
    <t>Expected CODIS forensic and offender hits per year</t>
  </si>
  <si>
    <t>2) Workflow change analysis (incremental cost and CODIS uploads when changing workflows)</t>
  </si>
  <si>
    <t>Serology screening  &gt; Serology screening with continuous sampling</t>
  </si>
  <si>
    <t>Serology screening  &gt; Direct-to-DNA</t>
  </si>
  <si>
    <t>Serology screening &gt; Direct-to-DNA with continuous sampling</t>
  </si>
  <si>
    <t>Serology screening  with continuous sampling &gt; Direct-to-DNA</t>
  </si>
  <si>
    <t>Serology screening  with continuous sampling &gt; Direct-to-DNA with continuous sampling</t>
  </si>
  <si>
    <t>Direct-to-DNA &gt; Direct-to-DNA with continuous sampling</t>
  </si>
  <si>
    <t>Serology screening  with continuous Direct-to-DNA</t>
  </si>
  <si>
    <t>Serology screening &gt; Direct-to-DNA</t>
  </si>
  <si>
    <t>Direct-to-DNA  &gt; Direct-to-DNA with continuous sampling</t>
  </si>
  <si>
    <t>3) Average cost-effectiveness by workflow</t>
  </si>
  <si>
    <t>Cost per 100 CODIS upload results</t>
  </si>
  <si>
    <t>END OF RESULTS</t>
  </si>
  <si>
    <t>Hourly wages are needed to calculate the cost of each workflow. Hourly wages calculated from median annual salaries assume that fringe benefits cost an additional 30% and that there are 2,080 working hours in a year.</t>
  </si>
  <si>
    <t>Completed SAK requests that yielded a CODIS-eligible profile and were uploaded to CODIS in a typical year</t>
  </si>
  <si>
    <t>If yes, approximately what percentage of all CODIS-eligible profiles were obtained from continuous sampling within a SAK?</t>
  </si>
  <si>
    <t>If yes, approximately how many additional evidence samples per SAK are processed?</t>
  </si>
  <si>
    <t>Expected CODIS uploads per 100 SAKs</t>
  </si>
  <si>
    <t>Incremental cost per 100 SAKs: changing to Direct-to-DNA or adding continuous sampling</t>
  </si>
  <si>
    <t>Incremental CODIS uploads per 100 SAKs: changing to Direct-to-DNA or adding continuous sampling</t>
  </si>
  <si>
    <t>Incremental cost per additional CODIS upload: changing to Direct-to-DNA or adding continuous sampling</t>
  </si>
  <si>
    <t>If your laboratory does not use continuous sampling within a SAK, you should leave in the current default values to calculate hypothetical scenarios for workflows involving continuous sampling. Increasing or decreasing these values can increase or decrease the value of continuous sampling (e.g., the cost per additional CODIS hit).</t>
  </si>
  <si>
    <r>
      <t xml:space="preserve">Enter the low and high salary for each laboratory role directly in columns B and C, respectively. If it is helpful, you can edit the laboratory role names in cells A32–A40. The lab roles in each section for the labor hours (see below) will automatically populate to match your lab roles. </t>
    </r>
    <r>
      <rPr>
        <b/>
        <sz val="11"/>
        <color theme="4"/>
        <rFont val="Calibri"/>
        <family val="2"/>
        <scheme val="minor"/>
      </rPr>
      <t>You do not need to enter zero or delete unused roles.</t>
    </r>
    <r>
      <rPr>
        <sz val="11"/>
        <color theme="1"/>
        <rFont val="Calibri"/>
        <family val="2"/>
        <scheme val="minor"/>
      </rPr>
      <t xml:space="preserve"> Only roles with hours assigned in the labor hour sections will be used for cost calculations. The tool will add 30% for fringe benefits and assume 2,080 working hours per year in the hourly wage cost calculations. You can enter a median salary directly in cells D33–D40 if that is preferred.</t>
    </r>
  </si>
  <si>
    <t>If your laboratory is using Direct-to-DNA, it is suggested you enter 5 hours for a serology analyst or equivalent. If your laboratory conducts serology screening, please enter the typical labor hours used by each laboratory role to complete this task or set of tasks. For laboratory roles that do not contribute to this task, enter 0.00 hours.</t>
  </si>
  <si>
    <t>If your laboratory is using Direct-to-DNA, it is suggested you enter 2 hours for a serology analyst or equivalent. If your laboratory conducts serology screening, please enter the typical labor hours used by each laboratory role to complete this task or set of tasks. For laboratory roles that do not contribute to this task, enter 0.00 hours.</t>
  </si>
  <si>
    <t>Enter the typical labor hours used by each laboratory role to complete this task or set of tasks. For laboratory roles that do not contribute to this task, enter 0.00 hours.</t>
  </si>
  <si>
    <t>Enter the typical labor hours used by each lab role to complete this task or set of tasks. For laboratory roles that do not contribute to this task, enter 0.00 hours.</t>
  </si>
  <si>
    <t>Enter the typical labor hours used by each laboratory role to complete this task or set of tasks. For lab roles that do not contribute to this task, enter 0.00 hours.</t>
  </si>
  <si>
    <t>Does your laboratory use a Direct-to-DNA casework approach?</t>
  </si>
  <si>
    <t>Does your laboratory use continuous sampling within the same SAK when no DNA profile is obtained from the initial sample(s)?</t>
  </si>
  <si>
    <t>Percentage of requests passing each stage of your laboratory's workflow (the following four stages should sum to 100%)</t>
  </si>
  <si>
    <t>Laboratory roles (use the "low" and "high" cells to the right to enter a salary range):</t>
  </si>
  <si>
    <t>Labor Hours</t>
  </si>
  <si>
    <t>Input Description</t>
  </si>
  <si>
    <t>Input Value</t>
  </si>
  <si>
    <t>User Input Guidance</t>
  </si>
  <si>
    <t>Staff salary ranges for labor cost calculations (by laboratory role)</t>
  </si>
  <si>
    <r>
      <rPr>
        <b/>
        <u/>
        <sz val="11"/>
        <rFont val="Calibri"/>
        <family val="2"/>
        <scheme val="minor"/>
      </rPr>
      <t>Notes</t>
    </r>
    <r>
      <rPr>
        <b/>
        <sz val="11"/>
        <rFont val="Calibri"/>
        <family val="2"/>
        <scheme val="minor"/>
      </rPr>
      <t>:</t>
    </r>
    <r>
      <rPr>
        <sz val="11"/>
        <rFont val="Calibri"/>
        <family val="2"/>
        <scheme val="minor"/>
      </rPr>
      <t xml:space="preserve"> Labor hour inputs are broken down into 11 steps from the full workflow (9 steps without serology). Each section below contains the same ordered list of laboratory roles from the salary table directly above. Please enter the hours of labor performed by each staff member for each step. You may enter hours for one or more staff members for each step. Hours may be entered in fractional amount (e.g., 0.25 hours). If your laboratory does not conduct serology, please enter the time that these steps would hypothetically take. If you are unsure, refer to the notes in column E in the serology sections for suggested hours. This will be used to calculate hypothetical scenarios for serology workflows (i.e., serology screening and serology screening with continuous sampling). Please ensure that you review each laboratory role listed under the 11 step blocks as some cells are pre-filled with default values. </t>
    </r>
  </si>
  <si>
    <t>Batch sizes for steps with batching (please enter your laboratory's median batch size for each step described, see further guidance in column E)</t>
  </si>
  <si>
    <t>Number of completed SAK requests used to calculate annual laboratory results:</t>
  </si>
  <si>
    <t>Stage 2: Percentage of SAK requests that passed serology (if conducted) and DNA extraction but stopped after quantitation</t>
  </si>
  <si>
    <t>Batch size for DNA quantitation</t>
  </si>
  <si>
    <t>Hours for DNA quantitation per SAK request or batch</t>
  </si>
  <si>
    <r>
      <t xml:space="preserve">Enter your laboratory's median batch size for each of the workflow steps described in A28, A29, and A30. Typical batch sizes range from 2–6 for each step but can be higher for some laboratories. </t>
    </r>
    <r>
      <rPr>
        <b/>
        <sz val="11"/>
        <color theme="4"/>
        <rFont val="Calibri"/>
        <family val="2"/>
        <scheme val="minor"/>
      </rPr>
      <t>If your laboratory does not use batching for these steps, please leave the batch size as 1 (indicative of no batching) in cells B28, B29, and B30.</t>
    </r>
    <r>
      <rPr>
        <sz val="11"/>
        <color theme="1"/>
        <rFont val="Calibri"/>
        <family val="2"/>
        <scheme val="minor"/>
      </rPr>
      <t xml:space="preserve"> For this tool, batching is defined as samples that are grouped together during one or more steps within a laboratory’s workflow. Batching practices may vary between laboratories depending upon which stage of the workflow samples are grouped, or not grouped, together (e.g., quantitation, amplification). For this tool, consider batching of SAK evidence samples only, and do not consider reference samples in your answers.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</si>
</sst>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 #,##0.0_);_(* \(#,##0.0\);_(* &quot;-&quot;??_);_(@_)"/>
    <numFmt numFmtId="167" formatCode="0.0%"/>
    <numFmt numFmtId="168" formatCode="&quot;$&quot;#,##0"/>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b/>
      <sz val="11"/>
      <name val="Calibri"/>
      <family val="2"/>
      <scheme val="minor"/>
    </font>
    <font>
      <sz val="11"/>
      <name val="Calibri"/>
      <family val="2"/>
      <scheme val="minor"/>
    </font>
    <font>
      <b/>
      <sz val="14"/>
      <color theme="1"/>
      <name val="Calibri"/>
      <family val="2"/>
      <scheme val="minor"/>
    </font>
    <font>
      <sz val="18"/>
      <color theme="1"/>
      <name val="Calibri"/>
      <family val="2"/>
      <scheme val="minor"/>
    </font>
    <font>
      <b/>
      <sz val="16"/>
      <color theme="1"/>
      <name val="Calibri"/>
      <family val="2"/>
      <scheme val="minor"/>
    </font>
    <font>
      <b/>
      <sz val="20"/>
      <color theme="1"/>
      <name val="Calibri"/>
      <family val="2"/>
      <scheme val="minor"/>
    </font>
    <font>
      <b/>
      <sz val="22"/>
      <color theme="1"/>
      <name val="Calibri"/>
      <family val="2"/>
      <scheme val="minor"/>
    </font>
    <font>
      <b/>
      <sz val="18"/>
      <color theme="1"/>
      <name val="Calibri"/>
      <family val="2"/>
      <scheme val="minor"/>
    </font>
    <font>
      <sz val="12"/>
      <color theme="1"/>
      <name val="Calibri"/>
      <family val="2"/>
      <scheme val="minor"/>
    </font>
    <font>
      <sz val="16"/>
      <color theme="1"/>
      <name val="Calibri"/>
      <family val="2"/>
      <scheme val="minor"/>
    </font>
    <font>
      <b/>
      <sz val="13"/>
      <color theme="1"/>
      <name val="Calibri"/>
      <family val="2"/>
      <scheme val="minor"/>
    </font>
    <font>
      <sz val="22"/>
      <color theme="1"/>
      <name val="Calibri"/>
      <family val="2"/>
      <scheme val="minor"/>
    </font>
    <font>
      <b/>
      <sz val="24"/>
      <color theme="1"/>
      <name val="Calibri"/>
      <family val="2"/>
      <scheme val="minor"/>
    </font>
    <font>
      <b/>
      <sz val="11"/>
      <color theme="4"/>
      <name val="Calibri"/>
      <family val="2"/>
      <scheme val="minor"/>
    </font>
    <font>
      <sz val="11"/>
      <name val="Calibri"/>
      <family val="2"/>
    </font>
    <font>
      <b/>
      <u/>
      <sz val="11"/>
      <name val="Calibri"/>
      <family val="2"/>
      <scheme val="minor"/>
    </font>
  </fonts>
  <fills count="7">
    <fill>
      <patternFill patternType="none"/>
    </fill>
    <fill>
      <patternFill patternType="gray125"/>
    </fill>
    <fill>
      <patternFill patternType="solid">
        <fgColor theme="4" tint="0.59999389629810485"/>
        <bgColor indexed="64"/>
      </patternFill>
    </fill>
    <fill>
      <patternFill patternType="solid">
        <fgColor theme="0" tint="-0.249977111117893"/>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theme="7" tint="0.59999389629810485"/>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74">
    <xf numFmtId="0" fontId="0" fillId="0" borderId="0" xfId="0"/>
    <xf numFmtId="0" fontId="2" fillId="0" borderId="0" xfId="0" applyFont="1"/>
    <xf numFmtId="0" fontId="0" fillId="0" borderId="0" xfId="0" applyAlignment="1">
      <alignment horizontal="left" indent="1"/>
    </xf>
    <xf numFmtId="0" fontId="0" fillId="0" borderId="5" xfId="0" applyBorder="1" applyAlignment="1">
      <alignment horizontal="left" indent="1"/>
    </xf>
    <xf numFmtId="0" fontId="2" fillId="0" borderId="10" xfId="0" applyFont="1" applyBorder="1"/>
    <xf numFmtId="0" fontId="0" fillId="0" borderId="2" xfId="0" applyBorder="1" applyAlignment="1">
      <alignment horizontal="left" indent="1"/>
    </xf>
    <xf numFmtId="0" fontId="0" fillId="0" borderId="7" xfId="0" applyBorder="1" applyAlignment="1">
      <alignment horizontal="left" indent="1"/>
    </xf>
    <xf numFmtId="2" fontId="0" fillId="0" borderId="0" xfId="0" applyNumberFormat="1" applyAlignment="1">
      <alignment horizontal="right"/>
    </xf>
    <xf numFmtId="0" fontId="0" fillId="0" borderId="0" xfId="0" applyAlignment="1">
      <alignment horizontal="right"/>
    </xf>
    <xf numFmtId="164" fontId="0" fillId="0" borderId="0" xfId="2" applyNumberFormat="1" applyFont="1" applyBorder="1" applyAlignment="1">
      <alignment horizontal="right"/>
    </xf>
    <xf numFmtId="44" fontId="0" fillId="0" borderId="0" xfId="2" applyFont="1" applyBorder="1" applyAlignment="1">
      <alignment horizontal="right"/>
    </xf>
    <xf numFmtId="0" fontId="0" fillId="0" borderId="0" xfId="0" applyAlignment="1">
      <alignment horizontal="left"/>
    </xf>
    <xf numFmtId="166" fontId="0" fillId="0" borderId="0" xfId="1" applyNumberFormat="1" applyFont="1" applyBorder="1" applyAlignment="1">
      <alignment horizontal="right"/>
    </xf>
    <xf numFmtId="0" fontId="4" fillId="0" borderId="0" xfId="0" applyFont="1"/>
    <xf numFmtId="0" fontId="5" fillId="0" borderId="0" xfId="0" applyFont="1"/>
    <xf numFmtId="0" fontId="4" fillId="0" borderId="2" xfId="0" applyFont="1" applyBorder="1"/>
    <xf numFmtId="44" fontId="5" fillId="0" borderId="0" xfId="2" applyFont="1" applyBorder="1" applyAlignment="1">
      <alignment horizontal="right"/>
    </xf>
    <xf numFmtId="44" fontId="5" fillId="0" borderId="0" xfId="2" applyFont="1"/>
    <xf numFmtId="0" fontId="4" fillId="0" borderId="5" xfId="0" applyFont="1" applyBorder="1"/>
    <xf numFmtId="0" fontId="4" fillId="0" borderId="7" xfId="0" applyFont="1" applyBorder="1"/>
    <xf numFmtId="43" fontId="5" fillId="0" borderId="0" xfId="1" applyFont="1"/>
    <xf numFmtId="0" fontId="5" fillId="0" borderId="5" xfId="0" applyFont="1" applyBorder="1"/>
    <xf numFmtId="0" fontId="5" fillId="0" borderId="0" xfId="0" applyFont="1" applyAlignment="1">
      <alignment horizontal="right"/>
    </xf>
    <xf numFmtId="0" fontId="4" fillId="0" borderId="15" xfId="0" applyFont="1" applyBorder="1"/>
    <xf numFmtId="0" fontId="4" fillId="0" borderId="14" xfId="0" applyFont="1" applyBorder="1"/>
    <xf numFmtId="43" fontId="5" fillId="0" borderId="0" xfId="1" applyFont="1" applyBorder="1" applyAlignment="1">
      <alignment horizontal="right"/>
    </xf>
    <xf numFmtId="43" fontId="5" fillId="0" borderId="0" xfId="1" applyFont="1" applyBorder="1"/>
    <xf numFmtId="2" fontId="5" fillId="0" borderId="0" xfId="0" applyNumberFormat="1" applyFont="1"/>
    <xf numFmtId="164" fontId="5" fillId="0" borderId="0" xfId="2" applyNumberFormat="1" applyFont="1" applyBorder="1" applyAlignment="1">
      <alignment horizontal="right"/>
    </xf>
    <xf numFmtId="1" fontId="5" fillId="0" borderId="0" xfId="0" applyNumberFormat="1" applyFont="1" applyAlignment="1">
      <alignment horizontal="right"/>
    </xf>
    <xf numFmtId="44" fontId="2" fillId="0" borderId="0" xfId="2" applyFont="1"/>
    <xf numFmtId="44" fontId="0" fillId="0" borderId="0" xfId="2" applyFont="1"/>
    <xf numFmtId="44" fontId="0" fillId="0" borderId="0" xfId="2" applyFont="1" applyBorder="1"/>
    <xf numFmtId="44" fontId="0" fillId="0" borderId="0" xfId="2" applyFont="1" applyFill="1" applyBorder="1" applyAlignment="1">
      <alignment horizontal="right"/>
    </xf>
    <xf numFmtId="44" fontId="0" fillId="0" borderId="0" xfId="2" applyFont="1" applyFill="1" applyBorder="1"/>
    <xf numFmtId="44" fontId="0" fillId="2" borderId="0" xfId="2" applyFont="1" applyFill="1"/>
    <xf numFmtId="165" fontId="7" fillId="0" borderId="0" xfId="1" applyNumberFormat="1" applyFont="1" applyAlignment="1">
      <alignment vertical="center"/>
    </xf>
    <xf numFmtId="44" fontId="0" fillId="0" borderId="0" xfId="2" applyFont="1" applyAlignment="1"/>
    <xf numFmtId="0" fontId="5" fillId="0" borderId="2" xfId="0" applyFont="1" applyBorder="1"/>
    <xf numFmtId="0" fontId="5" fillId="0" borderId="7" xfId="0" applyFont="1" applyBorder="1"/>
    <xf numFmtId="43" fontId="5" fillId="0" borderId="0" xfId="1" applyFont="1" applyBorder="1" applyAlignment="1">
      <alignment horizontal="left"/>
    </xf>
    <xf numFmtId="0" fontId="5" fillId="0" borderId="0" xfId="0" applyFont="1" applyAlignment="1">
      <alignment horizontal="left"/>
    </xf>
    <xf numFmtId="2" fontId="5" fillId="0" borderId="0" xfId="0" applyNumberFormat="1" applyFont="1" applyAlignment="1">
      <alignment horizontal="left"/>
    </xf>
    <xf numFmtId="44" fontId="5" fillId="0" borderId="0" xfId="2" applyFont="1" applyBorder="1" applyAlignment="1">
      <alignment horizontal="left"/>
    </xf>
    <xf numFmtId="43" fontId="5" fillId="0" borderId="0" xfId="1" applyFont="1" applyAlignment="1">
      <alignment horizontal="left"/>
    </xf>
    <xf numFmtId="1" fontId="5" fillId="0" borderId="0" xfId="0" applyNumberFormat="1" applyFont="1" applyAlignment="1">
      <alignment horizontal="left"/>
    </xf>
    <xf numFmtId="0" fontId="2" fillId="0" borderId="1" xfId="0" applyFont="1" applyBorder="1" applyAlignment="1">
      <alignment horizontal="left"/>
    </xf>
    <xf numFmtId="43" fontId="0" fillId="0" borderId="0" xfId="0" applyNumberFormat="1" applyAlignment="1">
      <alignment horizontal="right"/>
    </xf>
    <xf numFmtId="166" fontId="0" fillId="0" borderId="0" xfId="2" applyNumberFormat="1" applyFont="1" applyFill="1"/>
    <xf numFmtId="0" fontId="8" fillId="0" borderId="10" xfId="0" applyFont="1" applyBorder="1"/>
    <xf numFmtId="0" fontId="8" fillId="0" borderId="12" xfId="0" applyFont="1" applyBorder="1"/>
    <xf numFmtId="167" fontId="0" fillId="4" borderId="0" xfId="3" applyNumberFormat="1" applyFont="1" applyFill="1" applyBorder="1" applyAlignment="1">
      <alignment horizontal="right" vertical="center"/>
    </xf>
    <xf numFmtId="2" fontId="0" fillId="4" borderId="0" xfId="1" applyNumberFormat="1" applyFont="1" applyFill="1" applyBorder="1" applyAlignment="1">
      <alignment horizontal="right"/>
    </xf>
    <xf numFmtId="0" fontId="8" fillId="4" borderId="11" xfId="0" applyFont="1" applyFill="1" applyBorder="1" applyAlignment="1">
      <alignment horizontal="right"/>
    </xf>
    <xf numFmtId="9" fontId="0" fillId="0" borderId="0" xfId="3" applyFont="1" applyFill="1"/>
    <xf numFmtId="0" fontId="0" fillId="0" borderId="5" xfId="0" applyBorder="1" applyAlignment="1">
      <alignment horizontal="left" wrapText="1" indent="1"/>
    </xf>
    <xf numFmtId="44" fontId="9" fillId="2" borderId="0" xfId="2" applyFont="1" applyFill="1"/>
    <xf numFmtId="44" fontId="13" fillId="0" borderId="0" xfId="2" applyFont="1" applyBorder="1"/>
    <xf numFmtId="44" fontId="13" fillId="0" borderId="0" xfId="2" applyFont="1" applyBorder="1" applyAlignment="1">
      <alignment horizontal="center"/>
    </xf>
    <xf numFmtId="44" fontId="13" fillId="0" borderId="0" xfId="2" applyFont="1" applyFill="1" applyBorder="1" applyAlignment="1">
      <alignment horizontal="right"/>
    </xf>
    <xf numFmtId="164" fontId="13" fillId="0" borderId="0" xfId="2" applyNumberFormat="1" applyFont="1" applyFill="1" applyBorder="1" applyAlignment="1">
      <alignment horizontal="right"/>
    </xf>
    <xf numFmtId="44" fontId="13" fillId="0" borderId="0" xfId="2" applyFont="1" applyFill="1" applyBorder="1" applyAlignment="1">
      <alignment horizontal="center"/>
    </xf>
    <xf numFmtId="166" fontId="13" fillId="0" borderId="0" xfId="1" applyNumberFormat="1" applyFont="1" applyFill="1" applyBorder="1" applyAlignment="1">
      <alignment horizontal="right"/>
    </xf>
    <xf numFmtId="166" fontId="13" fillId="0" borderId="15" xfId="1" applyNumberFormat="1" applyFont="1" applyFill="1" applyBorder="1" applyAlignment="1">
      <alignment horizontal="right"/>
    </xf>
    <xf numFmtId="166" fontId="13" fillId="0" borderId="13" xfId="1" applyNumberFormat="1" applyFont="1" applyFill="1" applyBorder="1" applyAlignment="1">
      <alignment horizontal="right"/>
    </xf>
    <xf numFmtId="166" fontId="13" fillId="0" borderId="14" xfId="1" applyNumberFormat="1" applyFont="1" applyFill="1" applyBorder="1" applyAlignment="1">
      <alignment horizontal="right"/>
    </xf>
    <xf numFmtId="165" fontId="13" fillId="0" borderId="0" xfId="1" applyNumberFormat="1" applyFont="1" applyFill="1" applyBorder="1" applyAlignment="1">
      <alignment horizontal="right"/>
    </xf>
    <xf numFmtId="44" fontId="13" fillId="0" borderId="5" xfId="2" applyFont="1" applyBorder="1"/>
    <xf numFmtId="44" fontId="13" fillId="0" borderId="7" xfId="2" applyFont="1" applyBorder="1"/>
    <xf numFmtId="44" fontId="15" fillId="0" borderId="0" xfId="2" applyFont="1"/>
    <xf numFmtId="44" fontId="16" fillId="0" borderId="0" xfId="2" applyFont="1"/>
    <xf numFmtId="44" fontId="13" fillId="0" borderId="2" xfId="2" applyFont="1" applyBorder="1" applyAlignment="1">
      <alignment vertical="center" wrapText="1"/>
    </xf>
    <xf numFmtId="44" fontId="13" fillId="0" borderId="5" xfId="2" applyFont="1" applyBorder="1" applyAlignment="1">
      <alignment vertical="center" wrapText="1"/>
    </xf>
    <xf numFmtId="44" fontId="13" fillId="0" borderId="7" xfId="2" applyFont="1" applyBorder="1" applyAlignment="1">
      <alignment vertical="center" wrapText="1"/>
    </xf>
    <xf numFmtId="166" fontId="13" fillId="0" borderId="15" xfId="1" applyNumberFormat="1" applyFont="1" applyFill="1" applyBorder="1" applyAlignment="1">
      <alignment horizontal="right" vertical="center"/>
    </xf>
    <xf numFmtId="166" fontId="13" fillId="0" borderId="13" xfId="1" applyNumberFormat="1" applyFont="1" applyFill="1" applyBorder="1" applyAlignment="1">
      <alignment horizontal="right" vertical="center"/>
    </xf>
    <xf numFmtId="166" fontId="13" fillId="0" borderId="14" xfId="1" applyNumberFormat="1" applyFont="1" applyFill="1" applyBorder="1" applyAlignment="1">
      <alignment horizontal="right" vertical="center"/>
    </xf>
    <xf numFmtId="44" fontId="13" fillId="0" borderId="13" xfId="2" applyFont="1" applyBorder="1" applyAlignment="1">
      <alignment vertical="center"/>
    </xf>
    <xf numFmtId="44" fontId="13" fillId="0" borderId="14" xfId="2" applyFont="1" applyBorder="1" applyAlignment="1">
      <alignment vertical="center"/>
    </xf>
    <xf numFmtId="44" fontId="0" fillId="0" borderId="0" xfId="2" applyFont="1" applyBorder="1" applyAlignment="1"/>
    <xf numFmtId="44" fontId="8" fillId="0" borderId="0" xfId="2" applyFont="1" applyBorder="1" applyAlignment="1"/>
    <xf numFmtId="44" fontId="13" fillId="0" borderId="5" xfId="2" applyFont="1" applyBorder="1" applyAlignment="1">
      <alignment vertical="center"/>
    </xf>
    <xf numFmtId="164" fontId="13" fillId="0" borderId="0" xfId="2" applyNumberFormat="1" applyFont="1" applyBorder="1" applyAlignment="1">
      <alignment horizontal="right" vertical="center"/>
    </xf>
    <xf numFmtId="44" fontId="13" fillId="0" borderId="15" xfId="2" applyFont="1" applyBorder="1" applyAlignment="1">
      <alignment vertical="center"/>
    </xf>
    <xf numFmtId="44" fontId="0" fillId="2" borderId="0" xfId="2" applyFont="1" applyFill="1" applyBorder="1"/>
    <xf numFmtId="165" fontId="7" fillId="0" borderId="0" xfId="1" applyNumberFormat="1" applyFont="1" applyBorder="1" applyAlignment="1">
      <alignment horizontal="center" vertical="center"/>
    </xf>
    <xf numFmtId="44" fontId="14" fillId="0" borderId="0" xfId="2" applyFont="1" applyBorder="1" applyAlignment="1">
      <alignment horizontal="center" wrapText="1"/>
    </xf>
    <xf numFmtId="44" fontId="13" fillId="0" borderId="0" xfId="2" applyFont="1" applyBorder="1" applyAlignment="1">
      <alignment wrapText="1"/>
    </xf>
    <xf numFmtId="44" fontId="14" fillId="0" borderId="0" xfId="2" applyFont="1" applyBorder="1" applyAlignment="1">
      <alignment wrapText="1"/>
    </xf>
    <xf numFmtId="44" fontId="8" fillId="5" borderId="0" xfId="2" applyFont="1" applyFill="1"/>
    <xf numFmtId="44" fontId="8" fillId="5" borderId="1" xfId="2" applyFont="1" applyFill="1" applyBorder="1"/>
    <xf numFmtId="168" fontId="13" fillId="0" borderId="15" xfId="2" applyNumberFormat="1" applyFont="1" applyFill="1" applyBorder="1" applyAlignment="1">
      <alignment horizontal="right" vertical="center"/>
    </xf>
    <xf numFmtId="168" fontId="13" fillId="0" borderId="13" xfId="2" applyNumberFormat="1" applyFont="1" applyBorder="1" applyAlignment="1">
      <alignment horizontal="right" vertical="center"/>
    </xf>
    <xf numFmtId="168" fontId="13" fillId="0" borderId="13" xfId="2" applyNumberFormat="1" applyFont="1" applyFill="1" applyBorder="1" applyAlignment="1">
      <alignment horizontal="right" vertical="center"/>
    </xf>
    <xf numFmtId="168" fontId="13" fillId="0" borderId="14" xfId="2" applyNumberFormat="1" applyFont="1" applyBorder="1" applyAlignment="1">
      <alignment horizontal="right" vertical="center"/>
    </xf>
    <xf numFmtId="168" fontId="13" fillId="0" borderId="15" xfId="2" applyNumberFormat="1" applyFont="1" applyFill="1" applyBorder="1" applyAlignment="1">
      <alignment horizontal="right"/>
    </xf>
    <xf numFmtId="168" fontId="13" fillId="0" borderId="13" xfId="2" applyNumberFormat="1" applyFont="1" applyBorder="1" applyAlignment="1">
      <alignment horizontal="right"/>
    </xf>
    <xf numFmtId="168" fontId="13" fillId="0" borderId="14" xfId="2" applyNumberFormat="1" applyFont="1" applyBorder="1" applyAlignment="1">
      <alignment horizontal="right"/>
    </xf>
    <xf numFmtId="44" fontId="9" fillId="2" borderId="0" xfId="2" applyFont="1" applyFill="1" applyAlignment="1">
      <alignment horizontal="center"/>
    </xf>
    <xf numFmtId="44" fontId="0" fillId="0" borderId="0" xfId="2" applyFont="1" applyBorder="1" applyAlignment="1">
      <alignment horizontal="center"/>
    </xf>
    <xf numFmtId="44" fontId="0" fillId="0" borderId="0" xfId="2" applyFont="1" applyBorder="1" applyAlignment="1">
      <alignment horizontal="center"/>
    </xf>
    <xf numFmtId="0" fontId="0" fillId="0" borderId="5" xfId="0" applyBorder="1" applyAlignment="1">
      <alignment horizontal="left" vertical="center"/>
    </xf>
    <xf numFmtId="0" fontId="0" fillId="0" borderId="5" xfId="0" applyBorder="1" applyAlignment="1">
      <alignment vertical="center"/>
    </xf>
    <xf numFmtId="1" fontId="0" fillId="4" borderId="0" xfId="0" applyNumberFormat="1" applyFill="1" applyAlignment="1">
      <alignment horizontal="right" vertical="center"/>
    </xf>
    <xf numFmtId="0" fontId="0" fillId="0" borderId="0" xfId="0" applyAlignment="1">
      <alignment vertical="center"/>
    </xf>
    <xf numFmtId="0" fontId="0" fillId="0" borderId="6" xfId="0" applyBorder="1" applyAlignment="1">
      <alignment vertical="center"/>
    </xf>
    <xf numFmtId="0" fontId="0" fillId="0" borderId="6" xfId="0" applyBorder="1" applyAlignment="1">
      <alignment vertical="center" wrapText="1"/>
    </xf>
    <xf numFmtId="2" fontId="0" fillId="4" borderId="0" xfId="0" applyNumberFormat="1" applyFill="1" applyAlignment="1">
      <alignment horizontal="right" vertical="center"/>
    </xf>
    <xf numFmtId="0" fontId="0" fillId="0" borderId="5" xfId="0" applyBorder="1" applyAlignment="1">
      <alignment horizontal="left" vertical="center" wrapText="1"/>
    </xf>
    <xf numFmtId="1" fontId="0" fillId="4" borderId="0" xfId="1" applyNumberFormat="1" applyFont="1" applyFill="1" applyBorder="1" applyAlignment="1">
      <alignment horizontal="right" vertical="center"/>
    </xf>
    <xf numFmtId="0" fontId="2" fillId="0" borderId="0" xfId="0" applyFont="1" applyAlignment="1">
      <alignment horizontal="center" vertical="center"/>
    </xf>
    <xf numFmtId="6" fontId="0" fillId="4" borderId="0" xfId="3" applyNumberFormat="1" applyFont="1" applyFill="1" applyBorder="1" applyAlignment="1">
      <alignment horizontal="right" vertical="center"/>
    </xf>
    <xf numFmtId="6" fontId="0" fillId="0" borderId="0" xfId="3" applyNumberFormat="1" applyFont="1" applyFill="1" applyBorder="1" applyAlignment="1">
      <alignment horizontal="right" vertical="center"/>
    </xf>
    <xf numFmtId="2" fontId="0" fillId="4" borderId="0" xfId="1" applyNumberFormat="1" applyFont="1" applyFill="1" applyBorder="1" applyAlignment="1">
      <alignment horizontal="right" vertical="center"/>
    </xf>
    <xf numFmtId="0" fontId="0" fillId="0" borderId="6" xfId="0" applyBorder="1" applyAlignment="1">
      <alignment horizontal="left" vertical="center" wrapText="1"/>
    </xf>
    <xf numFmtId="44" fontId="13" fillId="5" borderId="1" xfId="2" applyFont="1" applyFill="1" applyBorder="1" applyAlignment="1">
      <alignment horizontal="center"/>
    </xf>
    <xf numFmtId="44" fontId="13" fillId="5" borderId="1" xfId="2" applyFont="1" applyFill="1" applyBorder="1" applyAlignment="1">
      <alignment horizontal="center" wrapText="1"/>
    </xf>
    <xf numFmtId="43" fontId="0" fillId="0" borderId="15" xfId="0" applyNumberFormat="1" applyBorder="1" applyAlignment="1">
      <alignment horizontal="right"/>
    </xf>
    <xf numFmtId="43" fontId="0" fillId="0" borderId="1" xfId="0" applyNumberFormat="1" applyBorder="1" applyAlignment="1">
      <alignment horizontal="right"/>
    </xf>
    <xf numFmtId="43" fontId="0" fillId="0" borderId="13" xfId="1" applyFont="1" applyFill="1" applyBorder="1" applyAlignment="1">
      <alignment horizontal="right"/>
    </xf>
    <xf numFmtId="6" fontId="0" fillId="0" borderId="15" xfId="2" applyNumberFormat="1" applyFont="1" applyFill="1" applyBorder="1" applyAlignment="1">
      <alignment horizontal="right"/>
    </xf>
    <xf numFmtId="6" fontId="0" fillId="0" borderId="13" xfId="2" applyNumberFormat="1" applyFont="1" applyFill="1" applyBorder="1" applyAlignment="1">
      <alignment horizontal="right"/>
    </xf>
    <xf numFmtId="6" fontId="0" fillId="0" borderId="14" xfId="2" applyNumberFormat="1" applyFont="1" applyFill="1" applyBorder="1" applyAlignment="1">
      <alignment horizontal="right"/>
    </xf>
    <xf numFmtId="43" fontId="0" fillId="0" borderId="14" xfId="0" applyNumberFormat="1" applyBorder="1" applyAlignment="1">
      <alignment horizontal="right"/>
    </xf>
    <xf numFmtId="43" fontId="0" fillId="0" borderId="13" xfId="0" applyNumberFormat="1" applyBorder="1" applyAlignment="1">
      <alignment horizontal="right"/>
    </xf>
    <xf numFmtId="167" fontId="0" fillId="0" borderId="13" xfId="3" applyNumberFormat="1" applyFont="1" applyBorder="1" applyAlignment="1">
      <alignment horizontal="right"/>
    </xf>
    <xf numFmtId="0" fontId="5" fillId="0" borderId="1" xfId="0" applyFont="1" applyBorder="1" applyAlignment="1">
      <alignment horizontal="right"/>
    </xf>
    <xf numFmtId="6" fontId="5" fillId="0" borderId="13" xfId="2" applyNumberFormat="1" applyFont="1" applyBorder="1" applyAlignment="1">
      <alignment horizontal="right"/>
    </xf>
    <xf numFmtId="43" fontId="5" fillId="0" borderId="14" xfId="1" applyFont="1" applyBorder="1" applyAlignment="1">
      <alignment horizontal="right"/>
    </xf>
    <xf numFmtId="6" fontId="5" fillId="0" borderId="14" xfId="2" applyNumberFormat="1" applyFont="1" applyBorder="1" applyAlignment="1">
      <alignment horizontal="right"/>
    </xf>
    <xf numFmtId="164" fontId="5" fillId="0" borderId="13" xfId="2" applyNumberFormat="1" applyFont="1" applyBorder="1" applyAlignment="1">
      <alignment horizontal="right"/>
    </xf>
    <xf numFmtId="164" fontId="5" fillId="0" borderId="14" xfId="2" applyNumberFormat="1" applyFont="1" applyBorder="1" applyAlignment="1">
      <alignment horizontal="right"/>
    </xf>
    <xf numFmtId="0" fontId="18" fillId="0" borderId="5" xfId="0" applyFont="1" applyBorder="1" applyAlignment="1">
      <alignment vertical="center"/>
    </xf>
    <xf numFmtId="0" fontId="0" fillId="0" borderId="5" xfId="0" applyBorder="1" applyAlignment="1">
      <alignment horizontal="left" vertical="center" indent="1"/>
    </xf>
    <xf numFmtId="0" fontId="0" fillId="0" borderId="6" xfId="0" applyBorder="1" applyAlignment="1">
      <alignment horizontal="left" vertical="center"/>
    </xf>
    <xf numFmtId="9" fontId="2" fillId="0" borderId="0" xfId="3" applyFont="1" applyBorder="1" applyAlignment="1">
      <alignment horizontal="center" vertical="center" wrapText="1"/>
    </xf>
    <xf numFmtId="44" fontId="13" fillId="0" borderId="15" xfId="2" applyFont="1" applyFill="1" applyBorder="1" applyAlignment="1">
      <alignment horizontal="center"/>
    </xf>
    <xf numFmtId="44" fontId="13" fillId="0" borderId="1" xfId="2" applyFont="1" applyFill="1" applyBorder="1" applyAlignment="1">
      <alignment horizontal="center"/>
    </xf>
    <xf numFmtId="44" fontId="13" fillId="0" borderId="1" xfId="2" applyFont="1" applyBorder="1" applyAlignment="1">
      <alignment horizontal="center"/>
    </xf>
    <xf numFmtId="44" fontId="13" fillId="0" borderId="15" xfId="2" applyFont="1" applyBorder="1" applyAlignment="1">
      <alignment horizontal="center"/>
    </xf>
    <xf numFmtId="44" fontId="13" fillId="0" borderId="10" xfId="2" applyFont="1" applyBorder="1" applyAlignment="1">
      <alignment horizontal="center"/>
    </xf>
    <xf numFmtId="0" fontId="0" fillId="0" borderId="4" xfId="0" applyBorder="1" applyAlignment="1">
      <alignment horizontal="left" vertical="center" wrapText="1"/>
    </xf>
    <xf numFmtId="0" fontId="0" fillId="0" borderId="6" xfId="0" applyBorder="1" applyAlignment="1">
      <alignment horizontal="left" vertical="center" wrapText="1"/>
    </xf>
    <xf numFmtId="0" fontId="0" fillId="0" borderId="9" xfId="0" applyBorder="1" applyAlignment="1">
      <alignment horizontal="left" vertical="center" wrapText="1"/>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7"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9" xfId="0" applyFont="1" applyFill="1" applyBorder="1" applyAlignment="1">
      <alignment horizontal="center" vertical="center"/>
    </xf>
    <xf numFmtId="0" fontId="2" fillId="3" borderId="10" xfId="0" applyFont="1" applyFill="1" applyBorder="1" applyAlignment="1">
      <alignment horizontal="left"/>
    </xf>
    <xf numFmtId="0" fontId="2" fillId="3" borderId="11" xfId="0" applyFont="1" applyFill="1" applyBorder="1" applyAlignment="1">
      <alignment horizontal="left"/>
    </xf>
    <xf numFmtId="0" fontId="2" fillId="3" borderId="12" xfId="0" applyFont="1" applyFill="1" applyBorder="1" applyAlignment="1">
      <alignment horizontal="left"/>
    </xf>
    <xf numFmtId="167" fontId="4" fillId="3" borderId="10" xfId="3" applyNumberFormat="1" applyFont="1" applyFill="1" applyBorder="1" applyAlignment="1">
      <alignment horizontal="left" vertical="center" wrapText="1"/>
    </xf>
    <xf numFmtId="167" fontId="4" fillId="3" borderId="11" xfId="3" applyNumberFormat="1" applyFont="1" applyFill="1" applyBorder="1" applyAlignment="1">
      <alignment horizontal="left" vertical="center" wrapText="1"/>
    </xf>
    <xf numFmtId="167" fontId="4" fillId="3" borderId="12" xfId="3" applyNumberFormat="1" applyFont="1" applyFill="1" applyBorder="1" applyAlignment="1">
      <alignment horizontal="left" vertical="center" wrapText="1"/>
    </xf>
    <xf numFmtId="167" fontId="0" fillId="3" borderId="0" xfId="0" applyNumberFormat="1" applyFill="1" applyAlignment="1">
      <alignment horizontal="center" vertical="center"/>
    </xf>
    <xf numFmtId="167" fontId="0" fillId="3" borderId="8" xfId="0" applyNumberFormat="1" applyFill="1" applyBorder="1" applyAlignment="1">
      <alignment horizontal="center" vertical="center"/>
    </xf>
    <xf numFmtId="0" fontId="2" fillId="3" borderId="10" xfId="0" applyFont="1" applyFill="1" applyBorder="1" applyAlignment="1">
      <alignment horizontal="left" vertical="center"/>
    </xf>
    <xf numFmtId="0" fontId="2" fillId="3" borderId="11" xfId="0" applyFont="1" applyFill="1" applyBorder="1" applyAlignment="1">
      <alignment horizontal="left" vertical="center"/>
    </xf>
    <xf numFmtId="0" fontId="2" fillId="3" borderId="12" xfId="0" applyFont="1" applyFill="1" applyBorder="1" applyAlignment="1">
      <alignment horizontal="left" vertical="center"/>
    </xf>
    <xf numFmtId="0" fontId="5" fillId="0" borderId="6" xfId="0" applyFont="1" applyBorder="1" applyAlignment="1">
      <alignment horizontal="left" vertical="center" wrapText="1"/>
    </xf>
    <xf numFmtId="0" fontId="5" fillId="0" borderId="9" xfId="0" applyFont="1" applyBorder="1" applyAlignment="1">
      <alignment horizontal="left" vertical="center" wrapText="1"/>
    </xf>
    <xf numFmtId="0" fontId="6" fillId="3" borderId="10" xfId="0" applyFont="1" applyFill="1" applyBorder="1" applyAlignment="1">
      <alignment horizontal="left" wrapText="1"/>
    </xf>
    <xf numFmtId="0" fontId="6" fillId="3" borderId="11" xfId="0" applyFont="1" applyFill="1" applyBorder="1" applyAlignment="1">
      <alignment horizontal="left" wrapText="1"/>
    </xf>
    <xf numFmtId="0" fontId="6" fillId="3" borderId="12" xfId="0" applyFont="1" applyFill="1" applyBorder="1" applyAlignment="1">
      <alignment horizontal="left" wrapText="1"/>
    </xf>
    <xf numFmtId="0" fontId="4" fillId="3" borderId="10" xfId="0" applyFont="1" applyFill="1" applyBorder="1" applyAlignment="1">
      <alignment horizontal="left" wrapText="1"/>
    </xf>
    <xf numFmtId="0" fontId="4" fillId="3" borderId="11" xfId="0" applyFont="1" applyFill="1" applyBorder="1" applyAlignment="1">
      <alignment horizontal="left" wrapText="1"/>
    </xf>
    <xf numFmtId="0" fontId="4" fillId="3" borderId="12" xfId="0" applyFont="1" applyFill="1" applyBorder="1" applyAlignment="1">
      <alignment horizontal="left" wrapText="1"/>
    </xf>
    <xf numFmtId="0" fontId="4" fillId="0" borderId="11" xfId="0" applyFont="1" applyBorder="1" applyAlignment="1">
      <alignment horizontal="center"/>
    </xf>
    <xf numFmtId="167" fontId="17" fillId="0" borderId="5" xfId="3" applyNumberFormat="1" applyFont="1" applyFill="1" applyBorder="1" applyAlignment="1">
      <alignment horizontal="center" vertical="center" wrapText="1"/>
    </xf>
    <xf numFmtId="167" fontId="17" fillId="0" borderId="0" xfId="3" applyNumberFormat="1" applyFont="1" applyFill="1" applyBorder="1" applyAlignment="1">
      <alignment horizontal="center" vertical="center" wrapText="1"/>
    </xf>
    <xf numFmtId="167" fontId="17" fillId="0" borderId="7" xfId="3" applyNumberFormat="1" applyFont="1" applyFill="1" applyBorder="1" applyAlignment="1">
      <alignment horizontal="center" vertical="center" wrapText="1"/>
    </xf>
    <xf numFmtId="167" fontId="17" fillId="0" borderId="8" xfId="3" applyNumberFormat="1" applyFont="1" applyFill="1" applyBorder="1" applyAlignment="1">
      <alignment horizontal="center" vertical="center" wrapText="1"/>
    </xf>
    <xf numFmtId="0" fontId="10" fillId="3" borderId="2" xfId="0" applyFont="1" applyFill="1" applyBorder="1" applyAlignment="1">
      <alignment horizontal="left" vertical="center"/>
    </xf>
    <xf numFmtId="0" fontId="10" fillId="3" borderId="3" xfId="0" applyFont="1" applyFill="1" applyBorder="1" applyAlignment="1">
      <alignment horizontal="left" vertical="center"/>
    </xf>
    <xf numFmtId="0" fontId="10" fillId="3" borderId="4" xfId="0" applyFont="1" applyFill="1" applyBorder="1" applyAlignment="1">
      <alignment horizontal="left" vertical="center"/>
    </xf>
    <xf numFmtId="0" fontId="10" fillId="3" borderId="5" xfId="0" applyFont="1" applyFill="1" applyBorder="1" applyAlignment="1">
      <alignment horizontal="left" vertical="center"/>
    </xf>
    <xf numFmtId="0" fontId="10" fillId="3" borderId="0" xfId="0" applyFont="1" applyFill="1" applyAlignment="1">
      <alignment horizontal="left" vertical="center"/>
    </xf>
    <xf numFmtId="0" fontId="10" fillId="3" borderId="6" xfId="0" applyFont="1" applyFill="1" applyBorder="1" applyAlignment="1">
      <alignment horizontal="left" vertical="center"/>
    </xf>
    <xf numFmtId="0" fontId="10" fillId="3" borderId="7" xfId="0" applyFont="1" applyFill="1" applyBorder="1" applyAlignment="1">
      <alignment horizontal="left" vertical="center"/>
    </xf>
    <xf numFmtId="0" fontId="10" fillId="3" borderId="8" xfId="0" applyFont="1" applyFill="1" applyBorder="1" applyAlignment="1">
      <alignment horizontal="left" vertical="center"/>
    </xf>
    <xf numFmtId="0" fontId="10" fillId="3" borderId="9" xfId="0" applyFont="1" applyFill="1" applyBorder="1" applyAlignment="1">
      <alignment horizontal="left" vertical="center"/>
    </xf>
    <xf numFmtId="0" fontId="0" fillId="3" borderId="10" xfId="0" applyFill="1" applyBorder="1" applyAlignment="1">
      <alignment horizontal="left" vertical="center" wrapText="1"/>
    </xf>
    <xf numFmtId="0" fontId="0" fillId="3" borderId="11" xfId="0" applyFill="1" applyBorder="1" applyAlignment="1">
      <alignment horizontal="left" vertical="center" wrapText="1"/>
    </xf>
    <xf numFmtId="0" fontId="0" fillId="3" borderId="12" xfId="0" applyFill="1" applyBorder="1" applyAlignment="1">
      <alignment horizontal="left" vertical="center" wrapText="1"/>
    </xf>
    <xf numFmtId="0" fontId="0" fillId="0" borderId="0" xfId="0" applyAlignment="1">
      <alignment horizontal="center" vertical="center" wrapText="1"/>
    </xf>
    <xf numFmtId="44" fontId="11" fillId="3" borderId="15" xfId="2" applyFont="1" applyFill="1" applyBorder="1" applyAlignment="1">
      <alignment horizontal="center" vertical="center"/>
    </xf>
    <xf numFmtId="44" fontId="11" fillId="3" borderId="14" xfId="2" applyFont="1" applyFill="1" applyBorder="1" applyAlignment="1">
      <alignment horizontal="center" vertical="center"/>
    </xf>
    <xf numFmtId="44" fontId="11" fillId="3" borderId="2" xfId="2" applyFont="1" applyFill="1" applyBorder="1" applyAlignment="1">
      <alignment horizontal="center" vertical="center"/>
    </xf>
    <xf numFmtId="44" fontId="11" fillId="3" borderId="3" xfId="2" applyFont="1" applyFill="1" applyBorder="1" applyAlignment="1">
      <alignment horizontal="center" vertical="center"/>
    </xf>
    <xf numFmtId="44" fontId="11" fillId="3" borderId="4" xfId="2" applyFont="1" applyFill="1" applyBorder="1" applyAlignment="1">
      <alignment horizontal="center" vertical="center"/>
    </xf>
    <xf numFmtId="44" fontId="11" fillId="3" borderId="7" xfId="2" applyFont="1" applyFill="1" applyBorder="1" applyAlignment="1">
      <alignment horizontal="center" vertical="center"/>
    </xf>
    <xf numFmtId="44" fontId="11" fillId="3" borderId="8" xfId="2" applyFont="1" applyFill="1" applyBorder="1" applyAlignment="1">
      <alignment horizontal="center" vertical="center"/>
    </xf>
    <xf numFmtId="44" fontId="11" fillId="3" borderId="9" xfId="2" applyFont="1" applyFill="1" applyBorder="1" applyAlignment="1">
      <alignment horizontal="center" vertical="center"/>
    </xf>
    <xf numFmtId="44" fontId="8" fillId="5" borderId="10" xfId="2" applyFont="1" applyFill="1" applyBorder="1" applyAlignment="1">
      <alignment horizontal="left" vertical="top" wrapText="1"/>
    </xf>
    <xf numFmtId="44" fontId="8" fillId="5" borderId="12" xfId="2" applyFont="1" applyFill="1" applyBorder="1" applyAlignment="1">
      <alignment horizontal="left" vertical="top" wrapText="1"/>
    </xf>
    <xf numFmtId="44" fontId="8" fillId="5" borderId="10" xfId="2" applyFont="1" applyFill="1" applyBorder="1" applyAlignment="1">
      <alignment horizontal="left" vertical="center" wrapText="1"/>
    </xf>
    <xf numFmtId="44" fontId="8" fillId="5" borderId="12" xfId="2" applyFont="1" applyFill="1" applyBorder="1" applyAlignment="1">
      <alignment horizontal="left" vertical="center" wrapText="1"/>
    </xf>
    <xf numFmtId="166" fontId="13" fillId="0" borderId="5" xfId="1" applyNumberFormat="1" applyFont="1" applyFill="1" applyBorder="1" applyAlignment="1">
      <alignment horizontal="center"/>
    </xf>
    <xf numFmtId="166" fontId="13" fillId="0" borderId="0" xfId="1" applyNumberFormat="1" applyFont="1" applyFill="1" applyBorder="1" applyAlignment="1">
      <alignment horizontal="center"/>
    </xf>
    <xf numFmtId="166" fontId="13" fillId="0" borderId="6" xfId="1" applyNumberFormat="1" applyFont="1" applyFill="1" applyBorder="1" applyAlignment="1">
      <alignment horizontal="center"/>
    </xf>
    <xf numFmtId="166" fontId="13" fillId="0" borderId="7" xfId="1" applyNumberFormat="1" applyFont="1" applyFill="1" applyBorder="1" applyAlignment="1">
      <alignment horizontal="center"/>
    </xf>
    <xf numFmtId="166" fontId="13" fillId="0" borderId="8" xfId="1" applyNumberFormat="1" applyFont="1" applyFill="1" applyBorder="1" applyAlignment="1">
      <alignment horizontal="center"/>
    </xf>
    <xf numFmtId="166" fontId="13" fillId="0" borderId="9" xfId="1" applyNumberFormat="1" applyFont="1" applyFill="1" applyBorder="1" applyAlignment="1">
      <alignment horizontal="center"/>
    </xf>
    <xf numFmtId="166" fontId="13" fillId="0" borderId="2" xfId="1" applyNumberFormat="1" applyFont="1" applyFill="1" applyBorder="1" applyAlignment="1">
      <alignment horizontal="center"/>
    </xf>
    <xf numFmtId="166" fontId="13" fillId="0" borderId="3" xfId="1" applyNumberFormat="1" applyFont="1" applyFill="1" applyBorder="1" applyAlignment="1">
      <alignment horizontal="center"/>
    </xf>
    <xf numFmtId="166" fontId="13" fillId="0" borderId="4" xfId="1" applyNumberFormat="1" applyFont="1" applyFill="1" applyBorder="1" applyAlignment="1">
      <alignment horizontal="center"/>
    </xf>
    <xf numFmtId="44" fontId="13" fillId="0" borderId="10" xfId="2" applyFont="1" applyFill="1" applyBorder="1" applyAlignment="1">
      <alignment horizontal="center"/>
    </xf>
    <xf numFmtId="44" fontId="13" fillId="0" borderId="11" xfId="2" applyFont="1" applyFill="1" applyBorder="1" applyAlignment="1">
      <alignment horizontal="center"/>
    </xf>
    <xf numFmtId="44" fontId="13" fillId="0" borderId="12" xfId="2" applyFont="1" applyFill="1" applyBorder="1" applyAlignment="1">
      <alignment horizontal="center"/>
    </xf>
    <xf numFmtId="44" fontId="8" fillId="6" borderId="10" xfId="2" applyFont="1" applyFill="1" applyBorder="1" applyAlignment="1">
      <alignment horizontal="center" vertical="center"/>
    </xf>
    <xf numFmtId="44" fontId="8" fillId="6" borderId="11" xfId="2" applyFont="1" applyFill="1" applyBorder="1" applyAlignment="1">
      <alignment horizontal="center" vertical="center"/>
    </xf>
    <xf numFmtId="44" fontId="8" fillId="6" borderId="12" xfId="2" applyFont="1" applyFill="1" applyBorder="1" applyAlignment="1">
      <alignment horizontal="center" vertical="center"/>
    </xf>
    <xf numFmtId="44" fontId="8" fillId="5" borderId="10" xfId="2" applyFont="1" applyFill="1" applyBorder="1" applyAlignment="1">
      <alignment horizontal="center"/>
    </xf>
    <xf numFmtId="44" fontId="8" fillId="5" borderId="12" xfId="2" applyFont="1" applyFill="1" applyBorder="1" applyAlignment="1">
      <alignment horizontal="center"/>
    </xf>
    <xf numFmtId="44" fontId="13" fillId="5" borderId="10" xfId="2" applyFont="1" applyFill="1" applyBorder="1" applyAlignment="1">
      <alignment horizontal="center"/>
    </xf>
    <xf numFmtId="44" fontId="13" fillId="5" borderId="11" xfId="2" applyFont="1" applyFill="1" applyBorder="1" applyAlignment="1">
      <alignment horizontal="center"/>
    </xf>
    <xf numFmtId="44" fontId="13" fillId="5" borderId="12" xfId="2" applyFont="1" applyFill="1" applyBorder="1" applyAlignment="1">
      <alignment horizontal="center"/>
    </xf>
    <xf numFmtId="44" fontId="13" fillId="5" borderId="10" xfId="2" applyFont="1" applyFill="1" applyBorder="1" applyAlignment="1">
      <alignment horizontal="center" wrapText="1"/>
    </xf>
    <xf numFmtId="44" fontId="13" fillId="5" borderId="11" xfId="2" applyFont="1" applyFill="1" applyBorder="1" applyAlignment="1">
      <alignment horizontal="center" wrapText="1"/>
    </xf>
    <xf numFmtId="44" fontId="13" fillId="5" borderId="12" xfId="2" applyFont="1" applyFill="1" applyBorder="1" applyAlignment="1">
      <alignment horizontal="center" wrapText="1"/>
    </xf>
    <xf numFmtId="168" fontId="13" fillId="0" borderId="2" xfId="2" applyNumberFormat="1" applyFont="1" applyFill="1" applyBorder="1" applyAlignment="1">
      <alignment horizontal="right"/>
    </xf>
    <xf numFmtId="168" fontId="13" fillId="0" borderId="3" xfId="2" applyNumberFormat="1" applyFont="1" applyFill="1" applyBorder="1" applyAlignment="1">
      <alignment horizontal="right"/>
    </xf>
    <xf numFmtId="168" fontId="13" fillId="0" borderId="4" xfId="2" applyNumberFormat="1" applyFont="1" applyFill="1" applyBorder="1" applyAlignment="1">
      <alignment horizontal="right"/>
    </xf>
    <xf numFmtId="168" fontId="13" fillId="0" borderId="5" xfId="2" applyNumberFormat="1" applyFont="1" applyFill="1" applyBorder="1" applyAlignment="1">
      <alignment horizontal="right"/>
    </xf>
    <xf numFmtId="168" fontId="13" fillId="0" borderId="0" xfId="2" applyNumberFormat="1" applyFont="1" applyFill="1" applyBorder="1" applyAlignment="1">
      <alignment horizontal="right"/>
    </xf>
    <xf numFmtId="168" fontId="13" fillId="0" borderId="6" xfId="2" applyNumberFormat="1" applyFont="1" applyFill="1" applyBorder="1" applyAlignment="1">
      <alignment horizontal="right"/>
    </xf>
    <xf numFmtId="168" fontId="13" fillId="0" borderId="7" xfId="2" applyNumberFormat="1" applyFont="1" applyFill="1" applyBorder="1" applyAlignment="1">
      <alignment horizontal="right"/>
    </xf>
    <xf numFmtId="168" fontId="13" fillId="0" borderId="8" xfId="2" applyNumberFormat="1" applyFont="1" applyFill="1" applyBorder="1" applyAlignment="1">
      <alignment horizontal="right"/>
    </xf>
    <xf numFmtId="168" fontId="13" fillId="0" borderId="9" xfId="2" applyNumberFormat="1" applyFont="1" applyFill="1" applyBorder="1" applyAlignment="1">
      <alignment horizontal="right"/>
    </xf>
    <xf numFmtId="44" fontId="0" fillId="0" borderId="2" xfId="2" applyFont="1" applyBorder="1" applyAlignment="1">
      <alignment horizontal="center"/>
    </xf>
    <xf numFmtId="44" fontId="0" fillId="0" borderId="3" xfId="2" applyFont="1" applyBorder="1" applyAlignment="1">
      <alignment horizontal="center"/>
    </xf>
    <xf numFmtId="44" fontId="0" fillId="0" borderId="4" xfId="2" applyFont="1" applyBorder="1" applyAlignment="1">
      <alignment horizontal="center"/>
    </xf>
    <xf numFmtId="44" fontId="0" fillId="0" borderId="5" xfId="2" applyFont="1" applyBorder="1" applyAlignment="1">
      <alignment horizontal="center"/>
    </xf>
    <xf numFmtId="44" fontId="0" fillId="0" borderId="0" xfId="2" applyFont="1" applyBorder="1" applyAlignment="1">
      <alignment horizontal="center"/>
    </xf>
    <xf numFmtId="44" fontId="0" fillId="0" borderId="6" xfId="2" applyFont="1" applyBorder="1" applyAlignment="1">
      <alignment horizontal="center"/>
    </xf>
    <xf numFmtId="44" fontId="0" fillId="0" borderId="7" xfId="2" applyFont="1" applyBorder="1" applyAlignment="1">
      <alignment horizontal="center"/>
    </xf>
    <xf numFmtId="44" fontId="0" fillId="0" borderId="8" xfId="2" applyFont="1" applyBorder="1" applyAlignment="1">
      <alignment horizontal="center"/>
    </xf>
    <xf numFmtId="44" fontId="0" fillId="0" borderId="9" xfId="2" applyFont="1" applyBorder="1" applyAlignment="1">
      <alignment horizontal="center"/>
    </xf>
    <xf numFmtId="44" fontId="8" fillId="6" borderId="10" xfId="2" applyFont="1" applyFill="1" applyBorder="1" applyAlignment="1">
      <alignment horizontal="center"/>
    </xf>
    <xf numFmtId="44" fontId="8" fillId="6" borderId="11" xfId="2" applyFont="1" applyFill="1" applyBorder="1" applyAlignment="1">
      <alignment horizontal="center"/>
    </xf>
    <xf numFmtId="44" fontId="8" fillId="6" borderId="12" xfId="2" applyFont="1" applyFill="1" applyBorder="1" applyAlignment="1">
      <alignment horizontal="center"/>
    </xf>
    <xf numFmtId="44" fontId="12" fillId="0" borderId="2" xfId="2" applyFont="1" applyFill="1" applyBorder="1" applyAlignment="1">
      <alignment horizontal="center" vertical="center" wrapText="1"/>
    </xf>
    <xf numFmtId="44" fontId="12" fillId="0" borderId="3" xfId="2" applyFont="1" applyFill="1" applyBorder="1" applyAlignment="1">
      <alignment horizontal="center" vertical="center" wrapText="1"/>
    </xf>
    <xf numFmtId="44" fontId="12" fillId="0" borderId="4" xfId="2" applyFont="1" applyFill="1" applyBorder="1" applyAlignment="1">
      <alignment horizontal="center" vertical="center" wrapText="1"/>
    </xf>
    <xf numFmtId="44" fontId="12" fillId="0" borderId="5" xfId="2" applyFont="1" applyFill="1" applyBorder="1" applyAlignment="1">
      <alignment horizontal="center" vertical="center" wrapText="1"/>
    </xf>
    <xf numFmtId="44" fontId="12" fillId="0" borderId="0" xfId="2" applyFont="1" applyFill="1" applyBorder="1" applyAlignment="1">
      <alignment horizontal="center" vertical="center" wrapText="1"/>
    </xf>
    <xf numFmtId="44" fontId="12" fillId="0" borderId="6" xfId="2" applyFont="1" applyFill="1" applyBorder="1" applyAlignment="1">
      <alignment horizontal="center" vertical="center" wrapText="1"/>
    </xf>
    <xf numFmtId="44" fontId="12" fillId="0" borderId="7" xfId="2" applyFont="1" applyFill="1" applyBorder="1" applyAlignment="1">
      <alignment horizontal="center" vertical="center" wrapText="1"/>
    </xf>
    <xf numFmtId="44" fontId="12" fillId="0" borderId="8" xfId="2" applyFont="1" applyFill="1" applyBorder="1" applyAlignment="1">
      <alignment horizontal="center" vertical="center" wrapText="1"/>
    </xf>
    <xf numFmtId="44" fontId="12" fillId="0" borderId="9" xfId="2" applyFont="1" applyFill="1" applyBorder="1" applyAlignment="1">
      <alignment horizontal="center" vertical="center" wrapText="1"/>
    </xf>
    <xf numFmtId="44" fontId="0" fillId="0" borderId="2" xfId="2" applyFont="1" applyBorder="1" applyAlignment="1">
      <alignment horizontal="center" vertical="center" wrapText="1"/>
    </xf>
    <xf numFmtId="44" fontId="0" fillId="0" borderId="3" xfId="2" applyFont="1" applyBorder="1" applyAlignment="1">
      <alignment horizontal="center" vertical="center" wrapText="1"/>
    </xf>
    <xf numFmtId="44" fontId="0" fillId="0" borderId="4" xfId="2" applyFont="1" applyBorder="1" applyAlignment="1">
      <alignment horizontal="center" vertical="center" wrapText="1"/>
    </xf>
    <xf numFmtId="44" fontId="0" fillId="0" borderId="5" xfId="2" applyFont="1" applyBorder="1" applyAlignment="1">
      <alignment horizontal="center" vertical="center" wrapText="1"/>
    </xf>
    <xf numFmtId="44" fontId="0" fillId="0" borderId="0" xfId="2" applyFont="1" applyBorder="1" applyAlignment="1">
      <alignment horizontal="center" vertical="center" wrapText="1"/>
    </xf>
    <xf numFmtId="44" fontId="0" fillId="0" borderId="6" xfId="2" applyFont="1" applyBorder="1" applyAlignment="1">
      <alignment horizontal="center" vertical="center" wrapText="1"/>
    </xf>
    <xf numFmtId="44" fontId="0" fillId="0" borderId="7" xfId="2" applyFont="1" applyBorder="1" applyAlignment="1">
      <alignment horizontal="center" vertical="center" wrapText="1"/>
    </xf>
    <xf numFmtId="44" fontId="0" fillId="0" borderId="8" xfId="2" applyFont="1" applyBorder="1" applyAlignment="1">
      <alignment horizontal="center" vertical="center" wrapText="1"/>
    </xf>
    <xf numFmtId="44" fontId="0" fillId="0" borderId="9" xfId="2" applyFont="1" applyBorder="1" applyAlignment="1">
      <alignment horizontal="center" vertical="center" wrapText="1"/>
    </xf>
    <xf numFmtId="44" fontId="6" fillId="0" borderId="10" xfId="2" applyFont="1" applyBorder="1" applyAlignment="1">
      <alignment horizontal="center" wrapText="1"/>
    </xf>
    <xf numFmtId="44" fontId="6" fillId="0" borderId="12" xfId="2" applyFont="1" applyBorder="1" applyAlignment="1">
      <alignment horizontal="center" wrapText="1"/>
    </xf>
    <xf numFmtId="44" fontId="12" fillId="0" borderId="2" xfId="2" applyFont="1" applyBorder="1" applyAlignment="1">
      <alignment horizontal="center" vertical="center" wrapText="1"/>
    </xf>
    <xf numFmtId="44" fontId="12" fillId="0" borderId="3" xfId="2" applyFont="1" applyBorder="1" applyAlignment="1">
      <alignment horizontal="center" vertical="center" wrapText="1"/>
    </xf>
    <xf numFmtId="44" fontId="12" fillId="0" borderId="4" xfId="2" applyFont="1" applyBorder="1" applyAlignment="1">
      <alignment horizontal="center" vertical="center" wrapText="1"/>
    </xf>
    <xf numFmtId="44" fontId="12" fillId="0" borderId="5" xfId="2" applyFont="1" applyBorder="1" applyAlignment="1">
      <alignment horizontal="center" vertical="center" wrapText="1"/>
    </xf>
    <xf numFmtId="44" fontId="12" fillId="0" borderId="0" xfId="2" applyFont="1" applyBorder="1" applyAlignment="1">
      <alignment horizontal="center" vertical="center" wrapText="1"/>
    </xf>
    <xf numFmtId="44" fontId="12" fillId="0" borderId="6" xfId="2" applyFont="1" applyBorder="1" applyAlignment="1">
      <alignment horizontal="center" vertical="center" wrapText="1"/>
    </xf>
    <xf numFmtId="44" fontId="12" fillId="0" borderId="7" xfId="2" applyFont="1" applyBorder="1" applyAlignment="1">
      <alignment horizontal="center" vertical="center" wrapText="1"/>
    </xf>
    <xf numFmtId="44" fontId="12" fillId="0" borderId="8" xfId="2" applyFont="1" applyBorder="1" applyAlignment="1">
      <alignment horizontal="center" vertical="center" wrapText="1"/>
    </xf>
    <xf numFmtId="44" fontId="12" fillId="0" borderId="9" xfId="2" applyFont="1" applyBorder="1" applyAlignment="1">
      <alignment horizontal="center" vertical="center" wrapText="1"/>
    </xf>
    <xf numFmtId="165" fontId="7" fillId="0" borderId="10" xfId="1" applyNumberFormat="1" applyFont="1" applyBorder="1" applyAlignment="1">
      <alignment horizontal="center" vertical="center"/>
    </xf>
    <xf numFmtId="165" fontId="7" fillId="0" borderId="12" xfId="1" applyNumberFormat="1" applyFont="1" applyBorder="1" applyAlignment="1">
      <alignment horizontal="center" vertical="center"/>
    </xf>
  </cellXfs>
  <cellStyles count="4">
    <cellStyle name="Comma" xfId="1" builtinId="3"/>
    <cellStyle name="Currency" xfId="2" builtinId="4"/>
    <cellStyle name="Normal" xfId="0" builtinId="0"/>
    <cellStyle name="Percent" xfId="3" builtinId="5"/>
  </cellStyles>
  <dxfs count="3">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forensiccoe.org/private/6317b48de9b72"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forensiccoe.org/private/6317b48de9b72" TargetMode="External"/></Relationships>
</file>

<file path=xl/drawings/drawing1.xml><?xml version="1.0" encoding="utf-8"?>
<xdr:wsDr xmlns:xdr="http://schemas.openxmlformats.org/drawingml/2006/spreadsheetDrawing" xmlns:a="http://schemas.openxmlformats.org/drawingml/2006/main">
  <xdr:twoCellAnchor>
    <xdr:from>
      <xdr:col>0</xdr:col>
      <xdr:colOff>4691062</xdr:colOff>
      <xdr:row>0</xdr:row>
      <xdr:rowOff>114298</xdr:rowOff>
    </xdr:from>
    <xdr:to>
      <xdr:col>2</xdr:col>
      <xdr:colOff>1188243</xdr:colOff>
      <xdr:row>5</xdr:row>
      <xdr:rowOff>71437</xdr:rowOff>
    </xdr:to>
    <xdr:sp macro="" textlink="">
      <xdr:nvSpPr>
        <xdr:cNvPr id="2" name="TextBox 1">
          <a:extLst>
            <a:ext uri="{FF2B5EF4-FFF2-40B4-BE49-F238E27FC236}">
              <a16:creationId xmlns:a16="http://schemas.microsoft.com/office/drawing/2014/main" id="{3F5771E0-16E3-4C5F-9BED-EE52EC75143B}"/>
            </a:ext>
          </a:extLst>
        </xdr:cNvPr>
        <xdr:cNvSpPr txBox="1"/>
      </xdr:nvSpPr>
      <xdr:spPr>
        <a:xfrm>
          <a:off x="4691062" y="114298"/>
          <a:ext cx="5831681" cy="909639"/>
        </a:xfrm>
        <a:prstGeom prst="rect">
          <a:avLst/>
        </a:prstGeom>
        <a:solidFill>
          <a:schemeClr val="accent5">
            <a:lumMod val="60000"/>
            <a:lumOff val="40000"/>
          </a:schemeClr>
        </a:solidFill>
        <a:ln w="19050">
          <a:solidFill>
            <a:srgbClr val="002060"/>
          </a:solid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t"/>
        <a:lstStyle/>
        <a:p>
          <a:r>
            <a:rPr lang="en-US" sz="1600" b="1">
              <a:solidFill>
                <a:sysClr val="windowText" lastClr="000000"/>
              </a:solidFill>
            </a:rPr>
            <a:t>Welcome to the </a:t>
          </a:r>
          <a:r>
            <a:rPr lang="en-US" sz="1600" b="1" baseline="0">
              <a:solidFill>
                <a:sysClr val="windowText" lastClr="000000"/>
              </a:solidFill>
            </a:rPr>
            <a:t>CBA Tool for Labor Expenditure Associated With SAK Processing Workflows. </a:t>
          </a:r>
          <a:r>
            <a:rPr lang="en-US" sz="1600">
              <a:solidFill>
                <a:sysClr val="windowText" lastClr="000000"/>
              </a:solidFill>
            </a:rPr>
            <a:t>Please</a:t>
          </a:r>
          <a:r>
            <a:rPr lang="en-US" sz="1600" baseline="0">
              <a:solidFill>
                <a:sysClr val="windowText" lastClr="000000"/>
              </a:solidFill>
            </a:rPr>
            <a:t> enter data reflecting your laboratory's workflow for processing SAKs in blue-colored cells, columns B and C.</a:t>
          </a:r>
          <a:endParaRPr lang="en-US" sz="1600">
            <a:solidFill>
              <a:sysClr val="windowText" lastClr="000000"/>
            </a:solidFill>
          </a:endParaRPr>
        </a:p>
      </xdr:txBody>
    </xdr:sp>
    <xdr:clientData/>
  </xdr:twoCellAnchor>
  <xdr:twoCellAnchor>
    <xdr:from>
      <xdr:col>0</xdr:col>
      <xdr:colOff>7606903</xdr:colOff>
      <xdr:row>5</xdr:row>
      <xdr:rowOff>71437</xdr:rowOff>
    </xdr:from>
    <xdr:to>
      <xdr:col>1</xdr:col>
      <xdr:colOff>270668</xdr:colOff>
      <xdr:row>6</xdr:row>
      <xdr:rowOff>180975</xdr:rowOff>
    </xdr:to>
    <xdr:cxnSp macro="">
      <xdr:nvCxnSpPr>
        <xdr:cNvPr id="5" name="Straight Arrow Connector 4">
          <a:extLst>
            <a:ext uri="{FF2B5EF4-FFF2-40B4-BE49-F238E27FC236}">
              <a16:creationId xmlns:a16="http://schemas.microsoft.com/office/drawing/2014/main" id="{73D958F6-2184-42F5-ABB5-580640300EC3}"/>
            </a:ext>
          </a:extLst>
        </xdr:cNvPr>
        <xdr:cNvCxnSpPr>
          <a:stCxn id="2" idx="2"/>
        </xdr:cNvCxnSpPr>
      </xdr:nvCxnSpPr>
      <xdr:spPr>
        <a:xfrm>
          <a:off x="7606903" y="1023937"/>
          <a:ext cx="640953" cy="311944"/>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0</xdr:row>
      <xdr:rowOff>114300</xdr:rowOff>
    </xdr:from>
    <xdr:to>
      <xdr:col>4</xdr:col>
      <xdr:colOff>3771900</xdr:colOff>
      <xdr:row>5</xdr:row>
      <xdr:rowOff>82550</xdr:rowOff>
    </xdr:to>
    <xdr:sp macro="" textlink="">
      <xdr:nvSpPr>
        <xdr:cNvPr id="26" name="TextBox 25">
          <a:extLst>
            <a:ext uri="{FF2B5EF4-FFF2-40B4-BE49-F238E27FC236}">
              <a16:creationId xmlns:a16="http://schemas.microsoft.com/office/drawing/2014/main" id="{B395367E-A0E6-409B-92BC-1A27D6DCA970}"/>
            </a:ext>
          </a:extLst>
        </xdr:cNvPr>
        <xdr:cNvSpPr txBox="1"/>
      </xdr:nvSpPr>
      <xdr:spPr>
        <a:xfrm>
          <a:off x="10725150" y="114300"/>
          <a:ext cx="5276850" cy="873125"/>
        </a:xfrm>
        <a:prstGeom prst="rect">
          <a:avLst/>
        </a:prstGeom>
        <a:solidFill>
          <a:schemeClr val="accent5">
            <a:lumMod val="60000"/>
            <a:lumOff val="40000"/>
          </a:schemeClr>
        </a:solidFill>
        <a:ln w="19050">
          <a:solidFill>
            <a:srgbClr val="002060"/>
          </a:solid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t"/>
        <a:lstStyle/>
        <a:p>
          <a:pPr marL="0" indent="0"/>
          <a:r>
            <a:rPr lang="en-US" sz="1600" b="0">
              <a:solidFill>
                <a:sysClr val="windowText" lastClr="000000"/>
              </a:solidFill>
              <a:latin typeface="+mn-lt"/>
              <a:ea typeface="+mn-ea"/>
              <a:cs typeface="+mn-cs"/>
            </a:rPr>
            <a:t>Once you've entered your data, you can view the </a:t>
          </a:r>
          <a:r>
            <a:rPr lang="en-US" sz="1600" b="1">
              <a:solidFill>
                <a:sysClr val="windowText" lastClr="000000"/>
              </a:solidFill>
              <a:latin typeface="+mn-lt"/>
              <a:ea typeface="+mn-ea"/>
              <a:cs typeface="+mn-cs"/>
            </a:rPr>
            <a:t>Results</a:t>
          </a:r>
          <a:r>
            <a:rPr lang="en-US" sz="1600" b="0">
              <a:solidFill>
                <a:sysClr val="windowText" lastClr="000000"/>
              </a:solidFill>
              <a:latin typeface="+mn-lt"/>
              <a:ea typeface="+mn-ea"/>
              <a:cs typeface="+mn-cs"/>
            </a:rPr>
            <a:t> </a:t>
          </a:r>
          <a:r>
            <a:rPr lang="en-US" sz="1600" b="1">
              <a:solidFill>
                <a:sysClr val="windowText" lastClr="000000"/>
              </a:solidFill>
              <a:latin typeface="+mn-lt"/>
              <a:ea typeface="+mn-ea"/>
              <a:cs typeface="+mn-cs"/>
            </a:rPr>
            <a:t>worksheet</a:t>
          </a:r>
          <a:r>
            <a:rPr lang="en-US" sz="1600" b="0">
              <a:solidFill>
                <a:sysClr val="windowText" lastClr="000000"/>
              </a:solidFill>
              <a:latin typeface="+mn-lt"/>
              <a:ea typeface="+mn-ea"/>
              <a:cs typeface="+mn-cs"/>
            </a:rPr>
            <a:t> for cost and CODIS outcomes based on your laboratory's input data.</a:t>
          </a:r>
        </a:p>
      </xdr:txBody>
    </xdr:sp>
    <xdr:clientData/>
  </xdr:twoCellAnchor>
  <xdr:twoCellAnchor>
    <xdr:from>
      <xdr:col>5</xdr:col>
      <xdr:colOff>123825</xdr:colOff>
      <xdr:row>0</xdr:row>
      <xdr:rowOff>114299</xdr:rowOff>
    </xdr:from>
    <xdr:to>
      <xdr:col>8</xdr:col>
      <xdr:colOff>76200</xdr:colOff>
      <xdr:row>18</xdr:row>
      <xdr:rowOff>438150</xdr:rowOff>
    </xdr:to>
    <xdr:sp macro="" textlink="">
      <xdr:nvSpPr>
        <xdr:cNvPr id="68" name="TextBox 67">
          <a:hlinkClick xmlns:r="http://schemas.openxmlformats.org/officeDocument/2006/relationships" r:id="rId1"/>
          <a:extLst>
            <a:ext uri="{FF2B5EF4-FFF2-40B4-BE49-F238E27FC236}">
              <a16:creationId xmlns:a16="http://schemas.microsoft.com/office/drawing/2014/main" id="{64FA8347-12C0-4E14-A145-3AC892F97B00}"/>
            </a:ext>
          </a:extLst>
        </xdr:cNvPr>
        <xdr:cNvSpPr txBox="1"/>
      </xdr:nvSpPr>
      <xdr:spPr>
        <a:xfrm>
          <a:off x="15678150" y="114299"/>
          <a:ext cx="1781175" cy="4191001"/>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en-US" sz="1600" b="1">
              <a:solidFill>
                <a:sysClr val="windowText" lastClr="000000"/>
              </a:solidFill>
            </a:rPr>
            <a:t>HELP!</a:t>
          </a:r>
        </a:p>
        <a:p>
          <a:r>
            <a:rPr lang="en-US" sz="1600" b="0">
              <a:solidFill>
                <a:sysClr val="windowText" lastClr="000000"/>
              </a:solidFill>
            </a:rPr>
            <a:t>Refer</a:t>
          </a:r>
          <a:r>
            <a:rPr lang="en-US" sz="1600" b="0" baseline="0">
              <a:solidFill>
                <a:sysClr val="windowText" lastClr="000000"/>
              </a:solidFill>
            </a:rPr>
            <a:t> to user input guidance (column E) for more information on what data to input.</a:t>
          </a:r>
        </a:p>
        <a:p>
          <a:endParaRPr lang="en-US" sz="1600" b="0">
            <a:solidFill>
              <a:sysClr val="windowText" lastClr="000000"/>
            </a:solidFill>
          </a:endParaRPr>
        </a:p>
        <a:p>
          <a:r>
            <a:rPr lang="en-US" sz="1600" b="0">
              <a:solidFill>
                <a:sysClr val="windowText" lastClr="000000"/>
              </a:solidFill>
            </a:rPr>
            <a:t>There is also an</a:t>
          </a:r>
          <a:r>
            <a:rPr lang="en-US" sz="1600" b="0" baseline="0">
              <a:solidFill>
                <a:sysClr val="windowText" lastClr="000000"/>
              </a:solidFill>
            </a:rPr>
            <a:t> accompanying </a:t>
          </a:r>
          <a:r>
            <a:rPr lang="en-US" sz="1600" b="1" u="sng" baseline="0">
              <a:solidFill>
                <a:sysClr val="windowText" lastClr="000000"/>
              </a:solidFill>
            </a:rPr>
            <a:t>user guide</a:t>
          </a:r>
          <a:r>
            <a:rPr lang="en-US" sz="1600" b="1" u="none" baseline="0">
              <a:solidFill>
                <a:sysClr val="windowText" lastClr="000000"/>
              </a:solidFill>
            </a:rPr>
            <a:t> </a:t>
          </a:r>
          <a:r>
            <a:rPr lang="en-US" sz="1600" b="0" baseline="0">
              <a:solidFill>
                <a:sysClr val="windowText" lastClr="000000"/>
              </a:solidFill>
            </a:rPr>
            <a:t>with a data checklist for this CBA tool. </a:t>
          </a:r>
          <a:endParaRPr lang="en-US" sz="1600" b="1">
            <a:solidFill>
              <a:srgbClr val="FF0000"/>
            </a:solidFill>
          </a:endParaRPr>
        </a:p>
      </xdr:txBody>
    </xdr:sp>
    <xdr:clientData/>
  </xdr:twoCellAnchor>
  <xdr:twoCellAnchor>
    <xdr:from>
      <xdr:col>2</xdr:col>
      <xdr:colOff>200025</xdr:colOff>
      <xdr:row>6</xdr:row>
      <xdr:rowOff>152400</xdr:rowOff>
    </xdr:from>
    <xdr:to>
      <xdr:col>3</xdr:col>
      <xdr:colOff>1352550</xdr:colOff>
      <xdr:row>6</xdr:row>
      <xdr:rowOff>161925</xdr:rowOff>
    </xdr:to>
    <xdr:cxnSp macro="">
      <xdr:nvCxnSpPr>
        <xdr:cNvPr id="6" name="Straight Arrow Connector 5">
          <a:extLst>
            <a:ext uri="{FF2B5EF4-FFF2-40B4-BE49-F238E27FC236}">
              <a16:creationId xmlns:a16="http://schemas.microsoft.com/office/drawing/2014/main" id="{59945BDC-3C15-4C55-9FE1-DF4580250F38}"/>
            </a:ext>
          </a:extLst>
        </xdr:cNvPr>
        <xdr:cNvCxnSpPr/>
      </xdr:nvCxnSpPr>
      <xdr:spPr>
        <a:xfrm flipV="1">
          <a:off x="9115425" y="1304925"/>
          <a:ext cx="2343150" cy="9525"/>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6804025</xdr:colOff>
      <xdr:row>25</xdr:row>
      <xdr:rowOff>9525</xdr:rowOff>
    </xdr:from>
    <xdr:to>
      <xdr:col>0</xdr:col>
      <xdr:colOff>7312025</xdr:colOff>
      <xdr:row>25</xdr:row>
      <xdr:rowOff>9526</xdr:rowOff>
    </xdr:to>
    <xdr:cxnSp macro="">
      <xdr:nvCxnSpPr>
        <xdr:cNvPr id="10" name="Straight Arrow Connector 9">
          <a:extLst>
            <a:ext uri="{FF2B5EF4-FFF2-40B4-BE49-F238E27FC236}">
              <a16:creationId xmlns:a16="http://schemas.microsoft.com/office/drawing/2014/main" id="{A6884AE0-880D-41A8-BAA5-9A4682C2E1A5}"/>
            </a:ext>
          </a:extLst>
        </xdr:cNvPr>
        <xdr:cNvCxnSpPr/>
      </xdr:nvCxnSpPr>
      <xdr:spPr>
        <a:xfrm flipV="1">
          <a:off x="6804025" y="5991225"/>
          <a:ext cx="508000" cy="1"/>
        </a:xfrm>
        <a:prstGeom prst="straightConnector1">
          <a:avLst/>
        </a:prstGeom>
        <a:ln w="28575">
          <a:solidFill>
            <a:schemeClr val="accent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2990056</xdr:colOff>
      <xdr:row>1</xdr:row>
      <xdr:rowOff>64294</xdr:rowOff>
    </xdr:from>
    <xdr:to>
      <xdr:col>0</xdr:col>
      <xdr:colOff>4640421</xdr:colOff>
      <xdr:row>4</xdr:row>
      <xdr:rowOff>150019</xdr:rowOff>
    </xdr:to>
    <xdr:pic>
      <xdr:nvPicPr>
        <xdr:cNvPr id="15" name="Picture 14">
          <a:extLst>
            <a:ext uri="{FF2B5EF4-FFF2-40B4-BE49-F238E27FC236}">
              <a16:creationId xmlns:a16="http://schemas.microsoft.com/office/drawing/2014/main" id="{1B04F993-ABED-4EAC-86D7-FBF3CE49738F}"/>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7358" b="21956"/>
        <a:stretch/>
      </xdr:blipFill>
      <xdr:spPr bwMode="auto">
        <a:xfrm>
          <a:off x="2990056" y="254794"/>
          <a:ext cx="1647825" cy="657225"/>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0</xdr:row>
      <xdr:rowOff>89086</xdr:rowOff>
    </xdr:from>
    <xdr:to>
      <xdr:col>8</xdr:col>
      <xdr:colOff>0</xdr:colOff>
      <xdr:row>7</xdr:row>
      <xdr:rowOff>203387</xdr:rowOff>
    </xdr:to>
    <xdr:sp macro="" textlink="">
      <xdr:nvSpPr>
        <xdr:cNvPr id="10" name="TextBox 9">
          <a:hlinkClick xmlns:r="http://schemas.openxmlformats.org/officeDocument/2006/relationships" r:id="rId1"/>
          <a:extLst>
            <a:ext uri="{FF2B5EF4-FFF2-40B4-BE49-F238E27FC236}">
              <a16:creationId xmlns:a16="http://schemas.microsoft.com/office/drawing/2014/main" id="{E464DABB-8D28-4118-994A-E8C34F4720CB}"/>
            </a:ext>
          </a:extLst>
        </xdr:cNvPr>
        <xdr:cNvSpPr txBox="1"/>
      </xdr:nvSpPr>
      <xdr:spPr>
        <a:xfrm>
          <a:off x="9188824" y="89086"/>
          <a:ext cx="5804647" cy="1873625"/>
        </a:xfrm>
        <a:prstGeom prst="rect">
          <a:avLst/>
        </a:prstGeom>
        <a:ln w="19050">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en-US" sz="1600" b="1">
              <a:solidFill>
                <a:sysClr val="windowText" lastClr="000000"/>
              </a:solidFill>
            </a:rPr>
            <a:t>HELP!</a:t>
          </a:r>
        </a:p>
        <a:p>
          <a:endParaRPr lang="en-US" sz="1600" b="1">
            <a:solidFill>
              <a:sysClr val="windowText" lastClr="000000"/>
            </a:solidFill>
          </a:endParaRPr>
        </a:p>
        <a:p>
          <a:r>
            <a:rPr lang="en-US" sz="1600">
              <a:solidFill>
                <a:sysClr val="windowText" lastClr="000000"/>
              </a:solidFill>
            </a:rPr>
            <a:t>Refer to the "</a:t>
          </a:r>
          <a:r>
            <a:rPr lang="en-US" sz="1600" b="1">
              <a:solidFill>
                <a:sysClr val="windowText" lastClr="000000"/>
              </a:solidFill>
            </a:rPr>
            <a:t>Interpreting results</a:t>
          </a:r>
          <a:r>
            <a:rPr lang="en-US" sz="1600">
              <a:solidFill>
                <a:sysClr val="windowText" lastClr="000000"/>
              </a:solidFill>
            </a:rPr>
            <a:t>" columns directly to the right</a:t>
          </a:r>
          <a:r>
            <a:rPr lang="en-US" sz="1600" baseline="0">
              <a:solidFill>
                <a:sysClr val="windowText" lastClr="000000"/>
              </a:solidFill>
            </a:rPr>
            <a:t> of the results tables </a:t>
          </a:r>
          <a:r>
            <a:rPr lang="en-US" sz="1600">
              <a:solidFill>
                <a:sysClr val="windowText" lastClr="000000"/>
              </a:solidFill>
            </a:rPr>
            <a:t>for more</a:t>
          </a:r>
          <a:r>
            <a:rPr lang="en-US" sz="1600" baseline="0">
              <a:solidFill>
                <a:sysClr val="windowText" lastClr="000000"/>
              </a:solidFill>
            </a:rPr>
            <a:t> information on what your results mean. </a:t>
          </a:r>
          <a:r>
            <a:rPr lang="en-US" sz="1600">
              <a:solidFill>
                <a:sysClr val="windowText" lastClr="000000"/>
              </a:solidFill>
            </a:rPr>
            <a:t>There is also an accompanying </a:t>
          </a:r>
          <a:r>
            <a:rPr lang="en-US" sz="1600" b="1" u="sng">
              <a:solidFill>
                <a:sysClr val="windowText" lastClr="000000"/>
              </a:solidFill>
            </a:rPr>
            <a:t>user guide</a:t>
          </a:r>
          <a:r>
            <a:rPr lang="en-US" sz="1100" b="0" baseline="0">
              <a:solidFill>
                <a:srgbClr val="FF0000"/>
              </a:solidFill>
              <a:effectLst/>
              <a:latin typeface="+mn-lt"/>
              <a:ea typeface="+mn-ea"/>
              <a:cs typeface="+mn-cs"/>
            </a:rPr>
            <a:t> </a:t>
          </a:r>
          <a:r>
            <a:rPr lang="en-US" sz="1600">
              <a:solidFill>
                <a:sysClr val="windowText" lastClr="000000"/>
              </a:solidFill>
            </a:rPr>
            <a:t>with further</a:t>
          </a:r>
          <a:r>
            <a:rPr lang="en-US" sz="1600" baseline="0">
              <a:solidFill>
                <a:sysClr val="windowText" lastClr="000000"/>
              </a:solidFill>
            </a:rPr>
            <a:t> details. </a:t>
          </a:r>
          <a:endParaRPr lang="en-US" sz="1600">
            <a:solidFill>
              <a:sysClr val="windowText" lastClr="000000"/>
            </a:solidFill>
          </a:endParaRPr>
        </a:p>
      </xdr:txBody>
    </xdr:sp>
    <xdr:clientData/>
  </xdr:twoCellAnchor>
  <xdr:twoCellAnchor>
    <xdr:from>
      <xdr:col>0</xdr:col>
      <xdr:colOff>66676</xdr:colOff>
      <xdr:row>0</xdr:row>
      <xdr:rowOff>85725</xdr:rowOff>
    </xdr:from>
    <xdr:to>
      <xdr:col>2</xdr:col>
      <xdr:colOff>0</xdr:colOff>
      <xdr:row>9</xdr:row>
      <xdr:rowOff>9525</xdr:rowOff>
    </xdr:to>
    <xdr:sp macro="" textlink="">
      <xdr:nvSpPr>
        <xdr:cNvPr id="12" name="TextBox 11">
          <a:extLst>
            <a:ext uri="{FF2B5EF4-FFF2-40B4-BE49-F238E27FC236}">
              <a16:creationId xmlns:a16="http://schemas.microsoft.com/office/drawing/2014/main" id="{0E993E3D-B870-4AA0-ABD5-4451349A8927}"/>
            </a:ext>
          </a:extLst>
        </xdr:cNvPr>
        <xdr:cNvSpPr txBox="1"/>
      </xdr:nvSpPr>
      <xdr:spPr>
        <a:xfrm>
          <a:off x="66676" y="85725"/>
          <a:ext cx="9191624" cy="1381125"/>
        </a:xfrm>
        <a:prstGeom prst="rect">
          <a:avLst/>
        </a:prstGeom>
        <a:solidFill>
          <a:schemeClr val="accent5">
            <a:lumMod val="60000"/>
            <a:lumOff val="40000"/>
          </a:schemeClr>
        </a:solidFill>
        <a:ln w="19050">
          <a:solidFill>
            <a:srgbClr val="002060"/>
          </a:solid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t"/>
        <a:lstStyle/>
        <a:p>
          <a:r>
            <a:rPr lang="en-US" sz="2000" b="1">
              <a:solidFill>
                <a:sysClr val="windowText" lastClr="000000"/>
              </a:solidFill>
            </a:rPr>
            <a:t>Welcome to the Results worksheet. </a:t>
          </a:r>
          <a:r>
            <a:rPr lang="en-US" sz="1600" b="0">
              <a:solidFill>
                <a:sysClr val="windowText" lastClr="000000"/>
              </a:solidFill>
            </a:rPr>
            <a:t>This</a:t>
          </a:r>
          <a:r>
            <a:rPr lang="en-US" sz="1600" b="0" baseline="0">
              <a:solidFill>
                <a:sysClr val="windowText" lastClr="000000"/>
              </a:solidFill>
            </a:rPr>
            <a:t> worksheet will automatically update based </a:t>
          </a:r>
          <a:r>
            <a:rPr lang="en-US" sz="1600" b="0">
              <a:solidFill>
                <a:sysClr val="windowText" lastClr="000000"/>
              </a:solidFill>
            </a:rPr>
            <a:t>on your laboratory's inputs in the </a:t>
          </a:r>
          <a:r>
            <a:rPr lang="en-US" sz="1600" b="1">
              <a:solidFill>
                <a:sysClr val="windowText" lastClr="000000"/>
              </a:solidFill>
            </a:rPr>
            <a:t>User Input worksheet</a:t>
          </a:r>
          <a:r>
            <a:rPr lang="en-US" sz="1600" b="0">
              <a:solidFill>
                <a:sysClr val="windowText" lastClr="000000"/>
              </a:solidFill>
            </a:rPr>
            <a:t>. Results</a:t>
          </a:r>
          <a:r>
            <a:rPr lang="en-US" sz="1600" b="0" baseline="0">
              <a:solidFill>
                <a:sysClr val="windowText" lastClr="000000"/>
              </a:solidFill>
            </a:rPr>
            <a:t> are organized into three main sections: (1) Cost and CODIS results by workflow, (2) Workflow change analysis (incremental cost and CODIS uploads when changing workflows), and (3) Average cost-effectiveness by workflow. Section 1 contains the basic costs and CODIS outcomes by workflow. Sections 2 and 3 use data from Section 1 to calculate cost-effectiveness ratios and incremental changes to demonstrate the effects of changing to a new workflow. </a:t>
          </a:r>
          <a:r>
            <a:rPr lang="en-US" sz="1600" b="0">
              <a:solidFill>
                <a:sysClr val="windowText" lastClr="000000"/>
              </a:solidFill>
            </a:rPr>
            <a:t>Cells are conditionally formatted to display green for lower costs or more effective outcomes and yellow for higher costs or less effective outcomes. The conditional formatting of costs and CODIS outcomes depends on the relative costs or CODIS outcomes within a set of workflow results (i.e., within each table column).</a:t>
          </a:r>
        </a:p>
        <a:p>
          <a:endParaRPr lang="en-US" sz="1600" b="1">
            <a:solidFill>
              <a:sysClr val="windowText" lastClr="000000"/>
            </a:solidFill>
          </a:endParaRPr>
        </a:p>
      </xdr:txBody>
    </xdr:sp>
    <xdr:clientData/>
  </xdr:twoCellAnchor>
  <xdr:twoCellAnchor>
    <xdr:from>
      <xdr:col>2</xdr:col>
      <xdr:colOff>257733</xdr:colOff>
      <xdr:row>64</xdr:row>
      <xdr:rowOff>224115</xdr:rowOff>
    </xdr:from>
    <xdr:to>
      <xdr:col>10</xdr:col>
      <xdr:colOff>1501587</xdr:colOff>
      <xdr:row>70</xdr:row>
      <xdr:rowOff>78441</xdr:rowOff>
    </xdr:to>
    <xdr:sp macro="" textlink="">
      <xdr:nvSpPr>
        <xdr:cNvPr id="20" name="TextBox 19">
          <a:extLst>
            <a:ext uri="{FF2B5EF4-FFF2-40B4-BE49-F238E27FC236}">
              <a16:creationId xmlns:a16="http://schemas.microsoft.com/office/drawing/2014/main" id="{B33C4E8B-49A5-47B8-84AC-3B8BD7E7C1BF}"/>
            </a:ext>
          </a:extLst>
        </xdr:cNvPr>
        <xdr:cNvSpPr txBox="1"/>
      </xdr:nvSpPr>
      <xdr:spPr>
        <a:xfrm>
          <a:off x="7586380" y="24675350"/>
          <a:ext cx="8987119" cy="15800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200"/>
            <a:t>These results show the average cost per 100 CODIS uploads by workflow (not by workflow</a:t>
          </a:r>
          <a:r>
            <a:rPr lang="en-US" sz="1200" baseline="0"/>
            <a:t> change as in Section 2, above)</a:t>
          </a:r>
          <a:r>
            <a:rPr lang="en-US" sz="1200"/>
            <a:t>. The average cost per 100 CODIS uploads is </a:t>
          </a:r>
          <a:r>
            <a:rPr lang="en-US" sz="1200">
              <a:solidFill>
                <a:sysClr val="windowText" lastClr="000000"/>
              </a:solidFill>
            </a:rPr>
            <a:t>equal to the expected cost divided by the expected CODIS uploads, multiplied by 100 (to express these results per 100 CODIS uploads). </a:t>
          </a:r>
          <a:r>
            <a:rPr lang="en-US" sz="1200">
              <a:solidFill>
                <a:sysClr val="windowText" lastClr="000000"/>
              </a:solidFill>
              <a:effectLst/>
              <a:latin typeface="+mn-lt"/>
              <a:ea typeface="+mn-ea"/>
              <a:cs typeface="+mn-cs"/>
            </a:rPr>
            <a:t>Based on the data provided from eight U.S. publicly funded crime laboratories</a:t>
          </a:r>
          <a:r>
            <a:rPr lang="en-US" sz="1200">
              <a:solidFill>
                <a:sysClr val="windowText" lastClr="000000"/>
              </a:solidFill>
            </a:rPr>
            <a:t>, these results demonstrated a lower cost per CODIS upload associated with Direct-to-DNA and a higher cost per CODIS upload associated with serology screening and continuous sampling. However, in</a:t>
          </a:r>
          <a:r>
            <a:rPr lang="en-US" sz="1200" baseline="0">
              <a:solidFill>
                <a:sysClr val="windowText" lastClr="000000"/>
              </a:solidFill>
            </a:rPr>
            <a:t> a hypothetical laboratory where serology screening excludes the same samples that would be stopped after DNA quantification, this average cost comparison would favor a change to Direct-to-DNA by $10,000 to $30,000 less per 100 CODIS uploads (depending on the workflow).</a:t>
          </a:r>
          <a:endParaRPr lang="en-US" sz="1200">
            <a:solidFill>
              <a:sysClr val="windowText" lastClr="000000"/>
            </a:solidFill>
          </a:endParaRPr>
        </a:p>
      </xdr:txBody>
    </xdr:sp>
    <xdr:clientData/>
  </xdr:twoCellAnchor>
  <xdr:twoCellAnchor>
    <xdr:from>
      <xdr:col>8</xdr:col>
      <xdr:colOff>89647</xdr:colOff>
      <xdr:row>27</xdr:row>
      <xdr:rowOff>22412</xdr:rowOff>
    </xdr:from>
    <xdr:to>
      <xdr:col>10</xdr:col>
      <xdr:colOff>1322295</xdr:colOff>
      <xdr:row>31</xdr:row>
      <xdr:rowOff>235324</xdr:rowOff>
    </xdr:to>
    <xdr:sp macro="" textlink="">
      <xdr:nvSpPr>
        <xdr:cNvPr id="21" name="TextBox 20">
          <a:extLst>
            <a:ext uri="{FF2B5EF4-FFF2-40B4-BE49-F238E27FC236}">
              <a16:creationId xmlns:a16="http://schemas.microsoft.com/office/drawing/2014/main" id="{9E79DFCD-6204-49DE-827A-671F050F4037}"/>
            </a:ext>
          </a:extLst>
        </xdr:cNvPr>
        <xdr:cNvSpPr txBox="1"/>
      </xdr:nvSpPr>
      <xdr:spPr>
        <a:xfrm>
          <a:off x="16192500" y="8101853"/>
          <a:ext cx="4471148" cy="12998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200"/>
            <a:t>Results are shown per </a:t>
          </a:r>
          <a:r>
            <a:rPr lang="en-US" sz="1200">
              <a:solidFill>
                <a:sysClr val="windowText" lastClr="000000"/>
              </a:solidFill>
            </a:rPr>
            <a:t>100 SAKs (left) and per year based on your lab's annual SAKs completed (right). CODIS/offender hits are influenced by your</a:t>
          </a:r>
          <a:r>
            <a:rPr lang="en-US" sz="1200" baseline="0">
              <a:solidFill>
                <a:sysClr val="windowText" lastClr="000000"/>
              </a:solidFill>
            </a:rPr>
            <a:t> lab's</a:t>
          </a:r>
          <a:r>
            <a:rPr lang="en-US" sz="1200">
              <a:solidFill>
                <a:sysClr val="windowText" lastClr="000000"/>
              </a:solidFill>
            </a:rPr>
            <a:t> input</a:t>
          </a:r>
          <a:r>
            <a:rPr lang="en-US" sz="1200" baseline="0">
              <a:solidFill>
                <a:sysClr val="windowText" lastClr="000000"/>
              </a:solidFill>
            </a:rPr>
            <a:t> values</a:t>
          </a:r>
          <a:r>
            <a:rPr lang="en-US" sz="1200">
              <a:solidFill>
                <a:sysClr val="windowText" lastClr="000000"/>
              </a:solidFill>
            </a:rPr>
            <a:t> including the percentage of SAKs passing each workflow stage, continuous </a:t>
          </a:r>
          <a:r>
            <a:rPr lang="en-US" sz="1200"/>
            <a:t>sampling inputs, and the number of CODIS</a:t>
          </a:r>
          <a:r>
            <a:rPr lang="en-US" sz="1200" baseline="0"/>
            <a:t> forensic and </a:t>
          </a:r>
          <a:r>
            <a:rPr lang="en-US" sz="1200"/>
            <a:t>offender hits relative to requests completed.</a:t>
          </a:r>
        </a:p>
      </xdr:txBody>
    </xdr:sp>
    <xdr:clientData/>
  </xdr:twoCellAnchor>
  <xdr:twoCellAnchor>
    <xdr:from>
      <xdr:col>8</xdr:col>
      <xdr:colOff>62752</xdr:colOff>
      <xdr:row>21</xdr:row>
      <xdr:rowOff>35858</xdr:rowOff>
    </xdr:from>
    <xdr:to>
      <xdr:col>10</xdr:col>
      <xdr:colOff>1317811</xdr:colOff>
      <xdr:row>25</xdr:row>
      <xdr:rowOff>253253</xdr:rowOff>
    </xdr:to>
    <xdr:sp macro="" textlink="">
      <xdr:nvSpPr>
        <xdr:cNvPr id="22" name="TextBox 21">
          <a:extLst>
            <a:ext uri="{FF2B5EF4-FFF2-40B4-BE49-F238E27FC236}">
              <a16:creationId xmlns:a16="http://schemas.microsoft.com/office/drawing/2014/main" id="{41DDF928-454A-4066-A38E-7DC334693165}"/>
            </a:ext>
          </a:extLst>
        </xdr:cNvPr>
        <xdr:cNvSpPr txBox="1"/>
      </xdr:nvSpPr>
      <xdr:spPr>
        <a:xfrm>
          <a:off x="15885458" y="5661211"/>
          <a:ext cx="3843618" cy="13043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200"/>
            <a:t>Results are shown per 100 </a:t>
          </a:r>
          <a:r>
            <a:rPr lang="en-US" sz="1200">
              <a:solidFill>
                <a:sysClr val="windowText" lastClr="000000"/>
              </a:solidFill>
            </a:rPr>
            <a:t>SAKs (left) and per year based on your lab's annual SAKs completed (right). CODIS results are influenced by your</a:t>
          </a:r>
          <a:r>
            <a:rPr lang="en-US" sz="1200" baseline="0">
              <a:solidFill>
                <a:sysClr val="windowText" lastClr="000000"/>
              </a:solidFill>
            </a:rPr>
            <a:t> lab's</a:t>
          </a:r>
          <a:r>
            <a:rPr lang="en-US" sz="1200">
              <a:solidFill>
                <a:sysClr val="windowText" lastClr="000000"/>
              </a:solidFill>
            </a:rPr>
            <a:t> input</a:t>
          </a:r>
          <a:r>
            <a:rPr lang="en-US" sz="1200" baseline="0">
              <a:solidFill>
                <a:sysClr val="windowText" lastClr="000000"/>
              </a:solidFill>
            </a:rPr>
            <a:t> values</a:t>
          </a:r>
          <a:r>
            <a:rPr lang="en-US" sz="1200">
              <a:solidFill>
                <a:sysClr val="windowText" lastClr="000000"/>
              </a:solidFill>
            </a:rPr>
            <a:t> including the percentage of SAKs passing each workflow stage, continuous sampling inputs, and the number of CODIS uploads relative to requests completed.</a:t>
          </a:r>
        </a:p>
      </xdr:txBody>
    </xdr:sp>
    <xdr:clientData/>
  </xdr:twoCellAnchor>
  <xdr:twoCellAnchor>
    <xdr:from>
      <xdr:col>8</xdr:col>
      <xdr:colOff>35858</xdr:colOff>
      <xdr:row>15</xdr:row>
      <xdr:rowOff>42582</xdr:rowOff>
    </xdr:from>
    <xdr:to>
      <xdr:col>10</xdr:col>
      <xdr:colOff>1290917</xdr:colOff>
      <xdr:row>19</xdr:row>
      <xdr:rowOff>259977</xdr:rowOff>
    </xdr:to>
    <xdr:sp macro="" textlink="">
      <xdr:nvSpPr>
        <xdr:cNvPr id="24" name="TextBox 23">
          <a:extLst>
            <a:ext uri="{FF2B5EF4-FFF2-40B4-BE49-F238E27FC236}">
              <a16:creationId xmlns:a16="http://schemas.microsoft.com/office/drawing/2014/main" id="{A309CEE6-9EC2-4818-99B7-C3957FB4B6EB}"/>
            </a:ext>
          </a:extLst>
        </xdr:cNvPr>
        <xdr:cNvSpPr txBox="1"/>
      </xdr:nvSpPr>
      <xdr:spPr>
        <a:xfrm>
          <a:off x="15858564" y="4020670"/>
          <a:ext cx="3843618" cy="13043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200"/>
            <a:t>Results are shown per 100 </a:t>
          </a:r>
          <a:r>
            <a:rPr lang="en-US" sz="1200">
              <a:solidFill>
                <a:sysClr val="windowText" lastClr="000000"/>
              </a:solidFill>
            </a:rPr>
            <a:t>SAKs (left) and per year based on your lab's annual SAKs completed (right). Costs </a:t>
          </a:r>
          <a:r>
            <a:rPr lang="en-US" sz="1200"/>
            <a:t>only include workflow-related labor costs. Hourly labor rates include fringe benefits. Materials costs and general overhead costs are not included.</a:t>
          </a:r>
        </a:p>
      </xdr:txBody>
    </xdr:sp>
    <xdr:clientData/>
  </xdr:twoCellAnchor>
  <xdr:twoCellAnchor>
    <xdr:from>
      <xdr:col>3</xdr:col>
      <xdr:colOff>2240</xdr:colOff>
      <xdr:row>36</xdr:row>
      <xdr:rowOff>6723</xdr:rowOff>
    </xdr:from>
    <xdr:to>
      <xdr:col>8</xdr:col>
      <xdr:colOff>0</xdr:colOff>
      <xdr:row>42</xdr:row>
      <xdr:rowOff>493059</xdr:rowOff>
    </xdr:to>
    <xdr:sp macro="" textlink="">
      <xdr:nvSpPr>
        <xdr:cNvPr id="25" name="TextBox 24">
          <a:extLst>
            <a:ext uri="{FF2B5EF4-FFF2-40B4-BE49-F238E27FC236}">
              <a16:creationId xmlns:a16="http://schemas.microsoft.com/office/drawing/2014/main" id="{FBC65C88-D6AF-46D2-95E0-3543853123B2}"/>
            </a:ext>
          </a:extLst>
        </xdr:cNvPr>
        <xdr:cNvSpPr txBox="1"/>
      </xdr:nvSpPr>
      <xdr:spPr>
        <a:xfrm>
          <a:off x="7588622" y="10876429"/>
          <a:ext cx="4244790" cy="35791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200"/>
            <a:t>These results show the incremental cost per 100 SAKs</a:t>
          </a:r>
          <a:r>
            <a:rPr lang="en-US" sz="1200" baseline="0"/>
            <a:t> for each workflow change as the cost of the newly </a:t>
          </a:r>
          <a:r>
            <a:rPr lang="en-US" sz="1200" baseline="0">
              <a:solidFill>
                <a:sysClr val="windowText" lastClr="000000"/>
              </a:solidFill>
            </a:rPr>
            <a:t>adapted workflow minus the cost of the current workflow per 100 SAKs (see Section 1 tables above for costs by workflow).</a:t>
          </a:r>
          <a:r>
            <a:rPr lang="en-US" sz="1200">
              <a:solidFill>
                <a:sysClr val="windowText" lastClr="000000"/>
              </a:solidFill>
              <a:effectLst/>
              <a:latin typeface="+mn-lt"/>
              <a:ea typeface="+mn-ea"/>
              <a:cs typeface="+mn-cs"/>
            </a:rPr>
            <a:t> Based on the data provided from eight U.S. publicly funded crime laboratories</a:t>
          </a:r>
          <a:r>
            <a:rPr lang="en-US" sz="1200">
              <a:solidFill>
                <a:sysClr val="windowText" lastClr="000000"/>
              </a:solidFill>
            </a:rPr>
            <a:t>, these results demonstrated cost-savings associated with changing from a serology workflow to</a:t>
          </a:r>
          <a:r>
            <a:rPr lang="en-US" sz="1200" baseline="0">
              <a:solidFill>
                <a:sysClr val="windowText" lastClr="000000"/>
              </a:solidFill>
            </a:rPr>
            <a:t> a</a:t>
          </a:r>
          <a:r>
            <a:rPr lang="en-US" sz="1200">
              <a:solidFill>
                <a:sysClr val="windowText" lastClr="000000"/>
              </a:solidFill>
            </a:rPr>
            <a:t> Direct-to-DNA workflow. However,</a:t>
          </a:r>
          <a:r>
            <a:rPr lang="en-US" sz="1200" baseline="0">
              <a:solidFill>
                <a:sysClr val="windowText" lastClr="000000"/>
              </a:solidFill>
            </a:rPr>
            <a:t> this result can change </a:t>
          </a:r>
          <a:r>
            <a:rPr lang="en-US" sz="1200" baseline="0"/>
            <a:t>based on your lab's input values. </a:t>
          </a:r>
          <a:endParaRPr lang="en-US" sz="1200" strike="sngStrike" baseline="0">
            <a:solidFill>
              <a:srgbClr val="FF0000"/>
            </a:solidFill>
          </a:endParaRPr>
        </a:p>
      </xdr:txBody>
    </xdr:sp>
    <xdr:clientData/>
  </xdr:twoCellAnchor>
  <xdr:twoCellAnchor>
    <xdr:from>
      <xdr:col>3</xdr:col>
      <xdr:colOff>2240</xdr:colOff>
      <xdr:row>45</xdr:row>
      <xdr:rowOff>6723</xdr:rowOff>
    </xdr:from>
    <xdr:to>
      <xdr:col>8</xdr:col>
      <xdr:colOff>0</xdr:colOff>
      <xdr:row>51</xdr:row>
      <xdr:rowOff>493059</xdr:rowOff>
    </xdr:to>
    <xdr:sp macro="" textlink="">
      <xdr:nvSpPr>
        <xdr:cNvPr id="26" name="TextBox 25">
          <a:extLst>
            <a:ext uri="{FF2B5EF4-FFF2-40B4-BE49-F238E27FC236}">
              <a16:creationId xmlns:a16="http://schemas.microsoft.com/office/drawing/2014/main" id="{44D1D337-E38F-465E-9A97-3B062EDEFEDD}"/>
            </a:ext>
          </a:extLst>
        </xdr:cNvPr>
        <xdr:cNvSpPr txBox="1"/>
      </xdr:nvSpPr>
      <xdr:spPr>
        <a:xfrm>
          <a:off x="7588622" y="15459635"/>
          <a:ext cx="4244790" cy="35455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mn-lt"/>
              <a:ea typeface="+mn-ea"/>
              <a:cs typeface="+mn-cs"/>
            </a:rPr>
            <a:t>These </a:t>
          </a:r>
          <a:r>
            <a:rPr lang="en-US" sz="1200">
              <a:solidFill>
                <a:sysClr val="windowText" lastClr="000000"/>
              </a:solidFill>
              <a:effectLst/>
              <a:latin typeface="+mn-lt"/>
              <a:ea typeface="+mn-ea"/>
              <a:cs typeface="+mn-cs"/>
            </a:rPr>
            <a:t>results show the incremental CODIS uploads per 100 SAKs</a:t>
          </a:r>
          <a:r>
            <a:rPr lang="en-US" sz="1200" baseline="0">
              <a:solidFill>
                <a:sysClr val="windowText" lastClr="000000"/>
              </a:solidFill>
              <a:effectLst/>
              <a:latin typeface="+mn-lt"/>
              <a:ea typeface="+mn-ea"/>
              <a:cs typeface="+mn-cs"/>
            </a:rPr>
            <a:t> for each workflow change as the CODIS uploads of the newly adapted workflow minus the CODIS uploads of the current workflow per 100 SAKs (see Section 1 tables above for CODIS uploads by workflow</a:t>
          </a:r>
          <a:r>
            <a:rPr lang="en-US" sz="1200">
              <a:solidFill>
                <a:sysClr val="windowText" lastClr="000000"/>
              </a:solidFill>
              <a:effectLst/>
              <a:latin typeface="+mn-lt"/>
              <a:ea typeface="+mn-ea"/>
              <a:cs typeface="+mn-cs"/>
            </a:rPr>
            <a:t>). Based on the data provided from eight U.S. publicly funded crime</a:t>
          </a:r>
          <a:r>
            <a:rPr lang="en-US" sz="1200" baseline="0">
              <a:solidFill>
                <a:sysClr val="windowText" lastClr="000000"/>
              </a:solidFill>
              <a:effectLst/>
              <a:latin typeface="+mn-lt"/>
              <a:ea typeface="+mn-ea"/>
              <a:cs typeface="+mn-cs"/>
            </a:rPr>
            <a:t> </a:t>
          </a:r>
          <a:r>
            <a:rPr lang="en-US" sz="1200">
              <a:solidFill>
                <a:sysClr val="windowText" lastClr="000000"/>
              </a:solidFill>
              <a:effectLst/>
              <a:latin typeface="+mn-lt"/>
              <a:ea typeface="+mn-ea"/>
              <a:cs typeface="+mn-cs"/>
            </a:rPr>
            <a:t>laboratories, these results demonstrated the largest increases in CODIS uploads when changing from a serology workflow to a Direct-to-DNA workflow. Adding co</a:t>
          </a:r>
          <a:r>
            <a:rPr lang="en-US" sz="1200" baseline="0">
              <a:solidFill>
                <a:sysClr val="windowText" lastClr="000000"/>
              </a:solidFill>
              <a:effectLst/>
              <a:latin typeface="+mn-lt"/>
              <a:ea typeface="+mn-ea"/>
              <a:cs typeface="+mn-cs"/>
            </a:rPr>
            <a:t>ntinuous sampling resulted in additional CODIS uploads, but the incremental difference was not large </a:t>
          </a:r>
          <a:r>
            <a:rPr lang="en-US" sz="1200" baseline="0">
              <a:solidFill>
                <a:schemeClr val="dk1"/>
              </a:solidFill>
              <a:effectLst/>
              <a:latin typeface="+mn-lt"/>
              <a:ea typeface="+mn-ea"/>
              <a:cs typeface="+mn-cs"/>
            </a:rPr>
            <a:t>given the low input values for the percentage of CODIS-eligible profiles obtained from continuous sampling.</a:t>
          </a:r>
          <a:endParaRPr lang="en-US" sz="1200"/>
        </a:p>
      </xdr:txBody>
    </xdr:sp>
    <xdr:clientData/>
  </xdr:twoCellAnchor>
  <xdr:twoCellAnchor>
    <xdr:from>
      <xdr:col>3</xdr:col>
      <xdr:colOff>0</xdr:colOff>
      <xdr:row>53</xdr:row>
      <xdr:rowOff>656664</xdr:rowOff>
    </xdr:from>
    <xdr:to>
      <xdr:col>7</xdr:col>
      <xdr:colOff>649941</xdr:colOff>
      <xdr:row>61</xdr:row>
      <xdr:rowOff>78441</xdr:rowOff>
    </xdr:to>
    <xdr:sp macro="" textlink="">
      <xdr:nvSpPr>
        <xdr:cNvPr id="27" name="TextBox 26">
          <a:extLst>
            <a:ext uri="{FF2B5EF4-FFF2-40B4-BE49-F238E27FC236}">
              <a16:creationId xmlns:a16="http://schemas.microsoft.com/office/drawing/2014/main" id="{0DE7C91C-CB10-43C9-8CE1-4036124CE915}"/>
            </a:ext>
          </a:extLst>
        </xdr:cNvPr>
        <xdr:cNvSpPr txBox="1"/>
      </xdr:nvSpPr>
      <xdr:spPr>
        <a:xfrm>
          <a:off x="7586382" y="19986811"/>
          <a:ext cx="4224618" cy="38144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200">
              <a:solidFill>
                <a:schemeClr val="dk1"/>
              </a:solidFill>
              <a:effectLst/>
              <a:latin typeface="+mn-lt"/>
              <a:ea typeface="+mn-ea"/>
              <a:cs typeface="+mn-cs"/>
            </a:rPr>
            <a:t>These results </a:t>
          </a:r>
          <a:r>
            <a:rPr lang="en-US" sz="1200">
              <a:solidFill>
                <a:sysClr val="windowText" lastClr="000000"/>
              </a:solidFill>
              <a:effectLst/>
              <a:latin typeface="+mn-lt"/>
              <a:ea typeface="+mn-ea"/>
              <a:cs typeface="+mn-cs"/>
            </a:rPr>
            <a:t>show the incremental cost per additional CODIS upload</a:t>
          </a:r>
          <a:r>
            <a:rPr lang="en-US" sz="1200" baseline="0">
              <a:solidFill>
                <a:sysClr val="windowText" lastClr="000000"/>
              </a:solidFill>
              <a:effectLst/>
              <a:latin typeface="+mn-lt"/>
              <a:ea typeface="+mn-ea"/>
              <a:cs typeface="+mn-cs"/>
            </a:rPr>
            <a:t> for each workflow change as the cost of the newly adapted workflow minus the cost of the current workflow, divided by the CODIS uploads of the newly adapted workflow minus the CODIS uploads of the current workflow (see Section 1 tables above). </a:t>
          </a:r>
          <a:r>
            <a:rPr lang="en-US" sz="1200">
              <a:solidFill>
                <a:schemeClr val="dk1"/>
              </a:solidFill>
              <a:effectLst/>
              <a:latin typeface="+mn-lt"/>
              <a:ea typeface="+mn-ea"/>
              <a:cs typeface="+mn-cs"/>
            </a:rPr>
            <a:t>Based on the data provided from eight U.S. publicly funded crime laboratories, adding continuous sampling to corresponding workflows (e.g., Direct-to-DNA to Direct-to-DNA with continuous sampling,  serology screening to serology screening with continuous sampling)</a:t>
          </a:r>
          <a:r>
            <a:rPr lang="en-US" sz="1200" baseline="0">
              <a:solidFill>
                <a:schemeClr val="dk1"/>
              </a:solidFill>
              <a:effectLst/>
              <a:latin typeface="+mn-lt"/>
              <a:ea typeface="+mn-ea"/>
              <a:cs typeface="+mn-cs"/>
            </a:rPr>
            <a:t> </a:t>
          </a:r>
          <a:r>
            <a:rPr lang="en-US" sz="1200">
              <a:solidFill>
                <a:schemeClr val="dk1"/>
              </a:solidFill>
              <a:effectLst/>
              <a:latin typeface="+mn-lt"/>
              <a:ea typeface="+mn-ea"/>
              <a:cs typeface="+mn-cs"/>
            </a:rPr>
            <a:t>increased workflow costs and CODIS uploads resulting in an additional cost to gain additional CODIS upload(s). In some cases (e.g., changing to Direct-to-DNA from serology), costs decreased while CODIS uploads increased. In these cases, this tool calculates the average cost savings per additional CODIS upload.</a:t>
          </a:r>
          <a:r>
            <a:rPr lang="en-US" sz="1200" baseline="0">
              <a:solidFill>
                <a:schemeClr val="dk1"/>
              </a:solidFill>
              <a:effectLst/>
              <a:latin typeface="+mn-lt"/>
              <a:ea typeface="+mn-ea"/>
              <a:cs typeface="+mn-cs"/>
            </a:rPr>
            <a:t> </a:t>
          </a:r>
          <a:r>
            <a:rPr lang="en-US" sz="1200">
              <a:solidFill>
                <a:schemeClr val="dk1"/>
              </a:solidFill>
              <a:effectLst/>
              <a:latin typeface="+mn-lt"/>
              <a:ea typeface="+mn-ea"/>
              <a:cs typeface="+mn-cs"/>
            </a:rPr>
            <a:t>The largest cost savings per additional CODIS upload was observed for a serology workflow changing to a Direct-to-DNA workflow.  </a:t>
          </a:r>
          <a:endParaRPr lang="en-US" sz="1200" baseline="0">
            <a:solidFill>
              <a:sysClr val="windowText" lastClr="000000"/>
            </a:solidFill>
            <a:effectLst/>
            <a:latin typeface="+mn-lt"/>
            <a:ea typeface="+mn-ea"/>
            <a:cs typeface="+mn-cs"/>
          </a:endParaRPr>
        </a:p>
      </xdr:txBody>
    </xdr:sp>
    <xdr:clientData/>
  </xdr:twoCellAnchor>
  <xdr:twoCellAnchor>
    <xdr:from>
      <xdr:col>6</xdr:col>
      <xdr:colOff>392207</xdr:colOff>
      <xdr:row>8</xdr:row>
      <xdr:rowOff>425823</xdr:rowOff>
    </xdr:from>
    <xdr:to>
      <xdr:col>7</xdr:col>
      <xdr:colOff>134471</xdr:colOff>
      <xdr:row>12</xdr:row>
      <xdr:rowOff>201706</xdr:rowOff>
    </xdr:to>
    <xdr:cxnSp macro="">
      <xdr:nvCxnSpPr>
        <xdr:cNvPr id="31" name="Straight Arrow Connector 30">
          <a:extLst>
            <a:ext uri="{FF2B5EF4-FFF2-40B4-BE49-F238E27FC236}">
              <a16:creationId xmlns:a16="http://schemas.microsoft.com/office/drawing/2014/main" id="{517569CD-3FA1-4426-9D94-3D73B5C6256B}"/>
            </a:ext>
          </a:extLst>
        </xdr:cNvPr>
        <xdr:cNvCxnSpPr/>
      </xdr:nvCxnSpPr>
      <xdr:spPr>
        <a:xfrm flipH="1">
          <a:off x="10955432" y="3035673"/>
          <a:ext cx="1028139" cy="1128433"/>
        </a:xfrm>
        <a:prstGeom prst="straightConnector1">
          <a:avLst/>
        </a:prstGeom>
        <a:ln>
          <a:headEnd type="triangle"/>
          <a:tailEnd type="triangle"/>
        </a:ln>
      </xdr:spPr>
      <xdr:style>
        <a:lnRef idx="3">
          <a:schemeClr val="dk1"/>
        </a:lnRef>
        <a:fillRef idx="0">
          <a:schemeClr val="dk1"/>
        </a:fillRef>
        <a:effectRef idx="2">
          <a:schemeClr val="dk1"/>
        </a:effectRef>
        <a:fontRef idx="minor">
          <a:schemeClr val="tx1"/>
        </a:fontRef>
      </xdr:style>
    </xdr:cxnSp>
    <xdr:clientData/>
  </xdr:twoCellAnchor>
  <xdr:twoCellAnchor editAs="oneCell">
    <xdr:from>
      <xdr:col>1</xdr:col>
      <xdr:colOff>2039470</xdr:colOff>
      <xdr:row>8</xdr:row>
      <xdr:rowOff>100852</xdr:rowOff>
    </xdr:from>
    <xdr:to>
      <xdr:col>1</xdr:col>
      <xdr:colOff>3415179</xdr:colOff>
      <xdr:row>8</xdr:row>
      <xdr:rowOff>662827</xdr:rowOff>
    </xdr:to>
    <xdr:pic>
      <xdr:nvPicPr>
        <xdr:cNvPr id="16" name="Picture 15">
          <a:extLst>
            <a:ext uri="{FF2B5EF4-FFF2-40B4-BE49-F238E27FC236}">
              <a16:creationId xmlns:a16="http://schemas.microsoft.com/office/drawing/2014/main" id="{6403ECE7-59B9-4111-A324-404ABFA4C65F}"/>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7358" b="21956"/>
        <a:stretch/>
      </xdr:blipFill>
      <xdr:spPr bwMode="auto">
        <a:xfrm>
          <a:off x="6118411" y="2711823"/>
          <a:ext cx="1375709" cy="561975"/>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23F55-76B6-4CF1-A03D-2E841139520C}">
  <dimension ref="A1:E143"/>
  <sheetViews>
    <sheetView tabSelected="1" zoomScale="80" zoomScaleNormal="80" workbookViewId="0">
      <selection activeCell="C11" sqref="C11"/>
    </sheetView>
  </sheetViews>
  <sheetFormatPr defaultColWidth="8.7109375" defaultRowHeight="15" x14ac:dyDescent="0.25"/>
  <cols>
    <col min="1" max="1" width="126.85546875" customWidth="1"/>
    <col min="2" max="2" width="20.28515625" customWidth="1"/>
    <col min="3" max="3" width="17.7109375" bestFit="1" customWidth="1"/>
    <col min="4" max="4" width="23.42578125" bestFit="1" customWidth="1"/>
    <col min="5" max="5" width="65.28515625" customWidth="1"/>
    <col min="6" max="6" width="8.7109375" customWidth="1"/>
  </cols>
  <sheetData>
    <row r="1" spans="1:5" x14ac:dyDescent="0.25">
      <c r="A1" s="174" t="s">
        <v>0</v>
      </c>
      <c r="B1" s="175"/>
      <c r="C1" s="175"/>
      <c r="D1" s="175"/>
      <c r="E1" s="176"/>
    </row>
    <row r="2" spans="1:5" x14ac:dyDescent="0.25">
      <c r="A2" s="177"/>
      <c r="B2" s="178"/>
      <c r="C2" s="178"/>
      <c r="D2" s="178"/>
      <c r="E2" s="179"/>
    </row>
    <row r="3" spans="1:5" x14ac:dyDescent="0.25">
      <c r="A3" s="177"/>
      <c r="B3" s="178"/>
      <c r="C3" s="178"/>
      <c r="D3" s="178"/>
      <c r="E3" s="179"/>
    </row>
    <row r="4" spans="1:5" x14ac:dyDescent="0.25">
      <c r="A4" s="177"/>
      <c r="B4" s="178"/>
      <c r="C4" s="178"/>
      <c r="D4" s="178"/>
      <c r="E4" s="179"/>
    </row>
    <row r="5" spans="1:5" x14ac:dyDescent="0.25">
      <c r="A5" s="177"/>
      <c r="B5" s="178"/>
      <c r="C5" s="178"/>
      <c r="D5" s="178"/>
      <c r="E5" s="179"/>
    </row>
    <row r="6" spans="1:5" ht="15.75" thickBot="1" x14ac:dyDescent="0.3">
      <c r="A6" s="180"/>
      <c r="B6" s="181"/>
      <c r="C6" s="181"/>
      <c r="D6" s="181"/>
      <c r="E6" s="182"/>
    </row>
    <row r="7" spans="1:5" ht="21.75" thickBot="1" x14ac:dyDescent="0.4">
      <c r="A7" s="49" t="s">
        <v>142</v>
      </c>
      <c r="B7" s="53" t="s">
        <v>143</v>
      </c>
      <c r="C7" s="169"/>
      <c r="D7" s="169"/>
      <c r="E7" s="50" t="s">
        <v>144</v>
      </c>
    </row>
    <row r="8" spans="1:5" ht="15.75" thickBot="1" x14ac:dyDescent="0.3">
      <c r="A8" s="150" t="s">
        <v>1</v>
      </c>
      <c r="B8" s="151"/>
      <c r="C8" s="151"/>
      <c r="D8" s="151"/>
      <c r="E8" s="152"/>
    </row>
    <row r="9" spans="1:5" x14ac:dyDescent="0.25">
      <c r="A9" s="102" t="s">
        <v>2</v>
      </c>
      <c r="B9" s="103">
        <v>251</v>
      </c>
      <c r="C9" s="104"/>
      <c r="D9" s="104" t="s">
        <v>3</v>
      </c>
      <c r="E9" s="105" t="s">
        <v>4</v>
      </c>
    </row>
    <row r="10" spans="1:5" x14ac:dyDescent="0.25">
      <c r="A10" s="102" t="s">
        <v>5</v>
      </c>
      <c r="B10" s="103">
        <v>157</v>
      </c>
      <c r="C10" s="104"/>
      <c r="D10" s="104"/>
      <c r="E10" s="105" t="s">
        <v>6</v>
      </c>
    </row>
    <row r="11" spans="1:5" ht="18" customHeight="1" thickBot="1" x14ac:dyDescent="0.3">
      <c r="A11" s="132" t="s">
        <v>123</v>
      </c>
      <c r="B11" s="103">
        <v>67</v>
      </c>
      <c r="C11" s="104"/>
      <c r="D11" s="104"/>
      <c r="E11" s="106" t="s">
        <v>7</v>
      </c>
    </row>
    <row r="12" spans="1:5" ht="15.75" thickBot="1" x14ac:dyDescent="0.3">
      <c r="A12" s="183" t="s">
        <v>8</v>
      </c>
      <c r="B12" s="184"/>
      <c r="C12" s="184"/>
      <c r="D12" s="184"/>
      <c r="E12" s="185"/>
    </row>
    <row r="13" spans="1:5" ht="18" customHeight="1" x14ac:dyDescent="0.25">
      <c r="A13" s="101" t="s">
        <v>9</v>
      </c>
      <c r="B13" s="103">
        <v>4</v>
      </c>
      <c r="C13" s="104"/>
      <c r="D13" s="104"/>
      <c r="E13" s="114" t="s">
        <v>10</v>
      </c>
    </row>
    <row r="14" spans="1:5" ht="15.75" thickBot="1" x14ac:dyDescent="0.3">
      <c r="A14" s="101" t="s">
        <v>11</v>
      </c>
      <c r="B14" s="103">
        <v>20</v>
      </c>
      <c r="C14" s="104"/>
      <c r="D14" s="104"/>
      <c r="E14" s="134" t="s">
        <v>12</v>
      </c>
    </row>
    <row r="15" spans="1:5" ht="15.75" thickBot="1" x14ac:dyDescent="0.3">
      <c r="A15" s="158" t="s">
        <v>13</v>
      </c>
      <c r="B15" s="159"/>
      <c r="C15" s="159"/>
      <c r="D15" s="159"/>
      <c r="E15" s="160"/>
    </row>
    <row r="16" spans="1:5" ht="30" customHeight="1" x14ac:dyDescent="0.25">
      <c r="A16" s="101" t="s">
        <v>137</v>
      </c>
      <c r="B16" s="107" t="s">
        <v>14</v>
      </c>
      <c r="C16" s="104"/>
      <c r="D16" s="104"/>
      <c r="E16" s="114" t="s">
        <v>15</v>
      </c>
    </row>
    <row r="17" spans="1:5" ht="29.25" customHeight="1" x14ac:dyDescent="0.25">
      <c r="A17" s="101" t="s">
        <v>138</v>
      </c>
      <c r="B17" s="107" t="s">
        <v>16</v>
      </c>
      <c r="C17" s="104"/>
      <c r="D17" s="104"/>
      <c r="E17" s="114" t="s">
        <v>17</v>
      </c>
    </row>
    <row r="18" spans="1:5" ht="38.25" customHeight="1" x14ac:dyDescent="0.25">
      <c r="A18" s="101" t="s">
        <v>125</v>
      </c>
      <c r="B18" s="103">
        <v>2</v>
      </c>
      <c r="C18" s="104"/>
      <c r="D18" s="104"/>
      <c r="E18" s="161" t="s">
        <v>130</v>
      </c>
    </row>
    <row r="19" spans="1:5" ht="57.75" customHeight="1" thickBot="1" x14ac:dyDescent="0.3">
      <c r="A19" s="108" t="s">
        <v>124</v>
      </c>
      <c r="B19" s="51">
        <v>2.5000000000000001E-2</v>
      </c>
      <c r="C19" s="104"/>
      <c r="D19" s="104"/>
      <c r="E19" s="162"/>
    </row>
    <row r="20" spans="1:5" ht="15.75" thickBot="1" x14ac:dyDescent="0.3">
      <c r="A20" s="150" t="s">
        <v>139</v>
      </c>
      <c r="B20" s="151"/>
      <c r="C20" s="151"/>
      <c r="D20" s="151"/>
      <c r="E20" s="152"/>
    </row>
    <row r="21" spans="1:5" ht="29.65" customHeight="1" x14ac:dyDescent="0.25">
      <c r="A21" s="101" t="s">
        <v>18</v>
      </c>
      <c r="B21" s="51">
        <v>0</v>
      </c>
      <c r="E21" s="142" t="s">
        <v>8</v>
      </c>
    </row>
    <row r="22" spans="1:5" ht="31.5" customHeight="1" x14ac:dyDescent="0.25">
      <c r="A22" s="108" t="s">
        <v>149</v>
      </c>
      <c r="B22" s="51">
        <v>0.1</v>
      </c>
      <c r="E22" s="142"/>
    </row>
    <row r="23" spans="1:5" ht="28.9" customHeight="1" x14ac:dyDescent="0.25">
      <c r="A23" s="101" t="s">
        <v>19</v>
      </c>
      <c r="B23" s="51">
        <v>0.37</v>
      </c>
      <c r="E23" s="142"/>
    </row>
    <row r="24" spans="1:5" ht="30" customHeight="1" x14ac:dyDescent="0.25">
      <c r="A24" s="101" t="s">
        <v>20</v>
      </c>
      <c r="B24" s="51">
        <v>0.53</v>
      </c>
      <c r="E24" s="142"/>
    </row>
    <row r="25" spans="1:5" ht="18" customHeight="1" x14ac:dyDescent="0.25">
      <c r="A25" s="170" t="s">
        <v>21</v>
      </c>
      <c r="B25" s="171"/>
      <c r="C25" s="156">
        <f>B24+B23+B22+B21</f>
        <v>1</v>
      </c>
      <c r="D25" s="156"/>
      <c r="E25" s="142"/>
    </row>
    <row r="26" spans="1:5" ht="18.75" customHeight="1" thickBot="1" x14ac:dyDescent="0.3">
      <c r="A26" s="172"/>
      <c r="B26" s="173"/>
      <c r="C26" s="157"/>
      <c r="D26" s="157"/>
      <c r="E26" s="143"/>
    </row>
    <row r="27" spans="1:5" ht="15.75" thickBot="1" x14ac:dyDescent="0.3">
      <c r="A27" s="153" t="s">
        <v>147</v>
      </c>
      <c r="B27" s="154"/>
      <c r="C27" s="154"/>
      <c r="D27" s="154"/>
      <c r="E27" s="155"/>
    </row>
    <row r="28" spans="1:5" ht="69" customHeight="1" x14ac:dyDescent="0.25">
      <c r="A28" s="101" t="s">
        <v>22</v>
      </c>
      <c r="B28" s="109">
        <v>1</v>
      </c>
      <c r="E28" s="142" t="s">
        <v>152</v>
      </c>
    </row>
    <row r="29" spans="1:5" ht="60" customHeight="1" x14ac:dyDescent="0.25">
      <c r="A29" s="101" t="s">
        <v>150</v>
      </c>
      <c r="B29" s="109">
        <v>1</v>
      </c>
      <c r="E29" s="142"/>
    </row>
    <row r="30" spans="1:5" ht="63" customHeight="1" thickBot="1" x14ac:dyDescent="0.3">
      <c r="A30" s="101" t="s">
        <v>24</v>
      </c>
      <c r="B30" s="109">
        <v>1</v>
      </c>
      <c r="E30" s="142"/>
    </row>
    <row r="31" spans="1:5" ht="22.5" customHeight="1" thickBot="1" x14ac:dyDescent="0.3">
      <c r="A31" s="150" t="s">
        <v>145</v>
      </c>
      <c r="B31" s="151"/>
      <c r="C31" s="151"/>
      <c r="D31" s="151"/>
      <c r="E31" s="152"/>
    </row>
    <row r="32" spans="1:5" ht="46.5" customHeight="1" x14ac:dyDescent="0.25">
      <c r="A32" s="101" t="s">
        <v>140</v>
      </c>
      <c r="B32" s="110" t="s">
        <v>25</v>
      </c>
      <c r="C32" s="110" t="s">
        <v>26</v>
      </c>
      <c r="D32" s="135" t="s">
        <v>27</v>
      </c>
      <c r="E32" s="141" t="s">
        <v>131</v>
      </c>
    </row>
    <row r="33" spans="1:5" ht="15" customHeight="1" x14ac:dyDescent="0.25">
      <c r="A33" s="101" t="s">
        <v>28</v>
      </c>
      <c r="B33" s="111">
        <v>40000</v>
      </c>
      <c r="C33" s="111">
        <v>60000</v>
      </c>
      <c r="D33" s="112">
        <f t="shared" ref="D33:D40" si="0">(B33+C33)/2</f>
        <v>50000</v>
      </c>
      <c r="E33" s="142"/>
    </row>
    <row r="34" spans="1:5" x14ac:dyDescent="0.25">
      <c r="A34" s="101" t="s">
        <v>29</v>
      </c>
      <c r="B34" s="111">
        <v>50000</v>
      </c>
      <c r="C34" s="111">
        <v>70000</v>
      </c>
      <c r="D34" s="112">
        <f t="shared" si="0"/>
        <v>60000</v>
      </c>
      <c r="E34" s="142"/>
    </row>
    <row r="35" spans="1:5" x14ac:dyDescent="0.25">
      <c r="A35" s="101" t="s">
        <v>30</v>
      </c>
      <c r="B35" s="111">
        <v>60000</v>
      </c>
      <c r="C35" s="111">
        <v>80000</v>
      </c>
      <c r="D35" s="112">
        <f t="shared" si="0"/>
        <v>70000</v>
      </c>
      <c r="E35" s="142"/>
    </row>
    <row r="36" spans="1:5" x14ac:dyDescent="0.25">
      <c r="A36" s="101" t="s">
        <v>31</v>
      </c>
      <c r="B36" s="111">
        <v>70000</v>
      </c>
      <c r="C36" s="111">
        <v>90000</v>
      </c>
      <c r="D36" s="112">
        <f t="shared" si="0"/>
        <v>80000</v>
      </c>
      <c r="E36" s="142"/>
    </row>
    <row r="37" spans="1:5" x14ac:dyDescent="0.25">
      <c r="A37" s="101" t="s">
        <v>32</v>
      </c>
      <c r="B37" s="111">
        <v>80000</v>
      </c>
      <c r="C37" s="111">
        <v>100000</v>
      </c>
      <c r="D37" s="112">
        <f t="shared" si="0"/>
        <v>90000</v>
      </c>
      <c r="E37" s="142"/>
    </row>
    <row r="38" spans="1:5" x14ac:dyDescent="0.25">
      <c r="A38" s="101" t="s">
        <v>33</v>
      </c>
      <c r="B38" s="111">
        <v>80000</v>
      </c>
      <c r="C38" s="111">
        <v>100000</v>
      </c>
      <c r="D38" s="112">
        <f t="shared" si="0"/>
        <v>90000</v>
      </c>
      <c r="E38" s="142"/>
    </row>
    <row r="39" spans="1:5" x14ac:dyDescent="0.25">
      <c r="A39" s="101" t="s">
        <v>34</v>
      </c>
      <c r="B39" s="111">
        <v>90000</v>
      </c>
      <c r="C39" s="111">
        <v>110000</v>
      </c>
      <c r="D39" s="112">
        <f t="shared" si="0"/>
        <v>100000</v>
      </c>
      <c r="E39" s="142"/>
    </row>
    <row r="40" spans="1:5" ht="15" customHeight="1" thickBot="1" x14ac:dyDescent="0.3">
      <c r="A40" s="101" t="s">
        <v>35</v>
      </c>
      <c r="B40" s="111">
        <v>60000</v>
      </c>
      <c r="C40" s="111">
        <v>80000</v>
      </c>
      <c r="D40" s="112">
        <f t="shared" si="0"/>
        <v>70000</v>
      </c>
      <c r="E40" s="143"/>
    </row>
    <row r="41" spans="1:5" ht="19.5" thickBot="1" x14ac:dyDescent="0.35">
      <c r="A41" s="163" t="s">
        <v>141</v>
      </c>
      <c r="B41" s="164"/>
      <c r="C41" s="164"/>
      <c r="D41" s="164"/>
      <c r="E41" s="165"/>
    </row>
    <row r="42" spans="1:5" ht="62.25" customHeight="1" thickBot="1" x14ac:dyDescent="0.3">
      <c r="A42" s="166" t="s">
        <v>146</v>
      </c>
      <c r="B42" s="167"/>
      <c r="C42" s="167"/>
      <c r="D42" s="167"/>
      <c r="E42" s="168"/>
    </row>
    <row r="43" spans="1:5" ht="15.75" thickBot="1" x14ac:dyDescent="0.3">
      <c r="A43" s="150" t="s">
        <v>36</v>
      </c>
      <c r="B43" s="151"/>
      <c r="C43" s="151"/>
      <c r="D43" s="151"/>
      <c r="E43" s="152"/>
    </row>
    <row r="44" spans="1:5" ht="15" customHeight="1" x14ac:dyDescent="0.25">
      <c r="A44" s="3" t="str">
        <f>$A$33</f>
        <v>Technician or equivalent</v>
      </c>
      <c r="B44" s="52">
        <v>0</v>
      </c>
      <c r="E44" s="142" t="s">
        <v>132</v>
      </c>
    </row>
    <row r="45" spans="1:5" x14ac:dyDescent="0.25">
      <c r="A45" s="3" t="str">
        <f>$A$34</f>
        <v>Serology analyst or equivalent</v>
      </c>
      <c r="B45" s="52">
        <v>5</v>
      </c>
      <c r="E45" s="142"/>
    </row>
    <row r="46" spans="1:5" x14ac:dyDescent="0.25">
      <c r="A46" s="3" t="str">
        <f>$A$35</f>
        <v>DNA analyst or equivalent</v>
      </c>
      <c r="B46" s="52">
        <v>0</v>
      </c>
      <c r="E46" s="142"/>
    </row>
    <row r="47" spans="1:5" x14ac:dyDescent="0.25">
      <c r="A47" s="3" t="str">
        <f>$A$36</f>
        <v>Casework CODIS administrator or equivalent</v>
      </c>
      <c r="B47" s="52">
        <v>0</v>
      </c>
      <c r="E47" s="142"/>
    </row>
    <row r="48" spans="1:5" x14ac:dyDescent="0.25">
      <c r="A48" s="3" t="str">
        <f>$A$37</f>
        <v>Technical leader or equivalent</v>
      </c>
      <c r="B48" s="52">
        <v>0</v>
      </c>
      <c r="E48" s="142"/>
    </row>
    <row r="49" spans="1:5" x14ac:dyDescent="0.25">
      <c r="A49" s="3" t="str">
        <f>$A$38</f>
        <v>Section supervisor or equivalent</v>
      </c>
      <c r="B49" s="52">
        <v>0</v>
      </c>
      <c r="E49" s="142"/>
    </row>
    <row r="50" spans="1:5" x14ac:dyDescent="0.25">
      <c r="A50" s="3" t="str">
        <f>$A$39</f>
        <v>Lab manager or equivalent</v>
      </c>
      <c r="B50" s="52">
        <v>0</v>
      </c>
      <c r="E50" s="142"/>
    </row>
    <row r="51" spans="1:5" ht="15.75" customHeight="1" thickBot="1" x14ac:dyDescent="0.3">
      <c r="A51" s="133" t="str">
        <f>$A$40</f>
        <v>Other</v>
      </c>
      <c r="B51" s="113">
        <v>0</v>
      </c>
      <c r="E51" s="142"/>
    </row>
    <row r="52" spans="1:5" ht="15.75" thickBot="1" x14ac:dyDescent="0.3">
      <c r="A52" s="150" t="s">
        <v>37</v>
      </c>
      <c r="B52" s="151"/>
      <c r="C52" s="151"/>
      <c r="D52" s="151"/>
      <c r="E52" s="152"/>
    </row>
    <row r="53" spans="1:5" ht="15" customHeight="1" x14ac:dyDescent="0.25">
      <c r="A53" s="3" t="str">
        <f>$A$33</f>
        <v>Technician or equivalent</v>
      </c>
      <c r="B53" s="52">
        <v>0</v>
      </c>
      <c r="E53" s="142" t="s">
        <v>133</v>
      </c>
    </row>
    <row r="54" spans="1:5" x14ac:dyDescent="0.25">
      <c r="A54" s="3" t="str">
        <f>$A$34</f>
        <v>Serology analyst or equivalent</v>
      </c>
      <c r="B54" s="52">
        <v>2</v>
      </c>
      <c r="E54" s="142"/>
    </row>
    <row r="55" spans="1:5" x14ac:dyDescent="0.25">
      <c r="A55" s="3" t="str">
        <f>$A$35</f>
        <v>DNA analyst or equivalent</v>
      </c>
      <c r="B55" s="52">
        <v>0</v>
      </c>
      <c r="E55" s="142"/>
    </row>
    <row r="56" spans="1:5" x14ac:dyDescent="0.25">
      <c r="A56" s="3" t="str">
        <f>$A$36</f>
        <v>Casework CODIS administrator or equivalent</v>
      </c>
      <c r="B56" s="52">
        <v>0</v>
      </c>
      <c r="E56" s="142"/>
    </row>
    <row r="57" spans="1:5" x14ac:dyDescent="0.25">
      <c r="A57" s="3" t="str">
        <f>$A$37</f>
        <v>Technical leader or equivalent</v>
      </c>
      <c r="B57" s="52">
        <v>0</v>
      </c>
      <c r="E57" s="142"/>
    </row>
    <row r="58" spans="1:5" x14ac:dyDescent="0.25">
      <c r="A58" s="3" t="str">
        <f>$A$38</f>
        <v>Section supervisor or equivalent</v>
      </c>
      <c r="B58" s="52">
        <v>0</v>
      </c>
      <c r="E58" s="142"/>
    </row>
    <row r="59" spans="1:5" x14ac:dyDescent="0.25">
      <c r="A59" s="3" t="str">
        <f>$A$39</f>
        <v>Lab manager or equivalent</v>
      </c>
      <c r="B59" s="52">
        <v>0</v>
      </c>
      <c r="E59" s="142"/>
    </row>
    <row r="60" spans="1:5" ht="15" customHeight="1" thickBot="1" x14ac:dyDescent="0.3">
      <c r="A60" s="133" t="str">
        <f>$A$40</f>
        <v>Other</v>
      </c>
      <c r="B60" s="113">
        <v>0</v>
      </c>
      <c r="E60" s="142"/>
    </row>
    <row r="61" spans="1:5" ht="15.75" thickBot="1" x14ac:dyDescent="0.3">
      <c r="A61" s="150" t="s">
        <v>38</v>
      </c>
      <c r="B61" s="151"/>
      <c r="C61" s="151"/>
      <c r="D61" s="151"/>
      <c r="E61" s="152"/>
    </row>
    <row r="62" spans="1:5" x14ac:dyDescent="0.25">
      <c r="A62" s="3" t="str">
        <f>$A$33</f>
        <v>Technician or equivalent</v>
      </c>
      <c r="B62" s="52">
        <v>2.5</v>
      </c>
      <c r="E62" s="141" t="s">
        <v>134</v>
      </c>
    </row>
    <row r="63" spans="1:5" x14ac:dyDescent="0.25">
      <c r="A63" s="3" t="str">
        <f>$A$34</f>
        <v>Serology analyst or equivalent</v>
      </c>
      <c r="B63" s="52">
        <v>0</v>
      </c>
      <c r="E63" s="142"/>
    </row>
    <row r="64" spans="1:5" x14ac:dyDescent="0.25">
      <c r="A64" s="3" t="str">
        <f>$A$35</f>
        <v>DNA analyst or equivalent</v>
      </c>
      <c r="B64" s="52">
        <v>0</v>
      </c>
      <c r="E64" s="142"/>
    </row>
    <row r="65" spans="1:5" x14ac:dyDescent="0.25">
      <c r="A65" s="3" t="str">
        <f>$A$36</f>
        <v>Casework CODIS administrator or equivalent</v>
      </c>
      <c r="B65" s="52">
        <v>0</v>
      </c>
      <c r="E65" s="142"/>
    </row>
    <row r="66" spans="1:5" x14ac:dyDescent="0.25">
      <c r="A66" s="3" t="str">
        <f>$A$37</f>
        <v>Technical leader or equivalent</v>
      </c>
      <c r="B66" s="52">
        <v>0</v>
      </c>
      <c r="E66" s="142"/>
    </row>
    <row r="67" spans="1:5" x14ac:dyDescent="0.25">
      <c r="A67" s="3" t="str">
        <f>$A$38</f>
        <v>Section supervisor or equivalent</v>
      </c>
      <c r="B67" s="52">
        <v>0</v>
      </c>
      <c r="E67" s="142"/>
    </row>
    <row r="68" spans="1:5" x14ac:dyDescent="0.25">
      <c r="A68" s="3" t="str">
        <f>$A$39</f>
        <v>Lab manager or equivalent</v>
      </c>
      <c r="B68" s="52">
        <v>0</v>
      </c>
      <c r="E68" s="142"/>
    </row>
    <row r="69" spans="1:5" ht="15.75" thickBot="1" x14ac:dyDescent="0.3">
      <c r="A69" s="3" t="str">
        <f>$A$40</f>
        <v>Other</v>
      </c>
      <c r="B69" s="52">
        <v>0</v>
      </c>
      <c r="E69" s="143"/>
    </row>
    <row r="70" spans="1:5" ht="15.75" thickBot="1" x14ac:dyDescent="0.3">
      <c r="A70" s="150" t="s">
        <v>151</v>
      </c>
      <c r="B70" s="151"/>
      <c r="C70" s="151"/>
      <c r="D70" s="151"/>
      <c r="E70" s="152"/>
    </row>
    <row r="71" spans="1:5" ht="15" customHeight="1" x14ac:dyDescent="0.25">
      <c r="A71" s="3" t="str">
        <f>$A$33</f>
        <v>Technician or equivalent</v>
      </c>
      <c r="B71" s="52">
        <v>1</v>
      </c>
      <c r="E71" s="141" t="s">
        <v>135</v>
      </c>
    </row>
    <row r="72" spans="1:5" x14ac:dyDescent="0.25">
      <c r="A72" s="3" t="str">
        <f>$A$34</f>
        <v>Serology analyst or equivalent</v>
      </c>
      <c r="B72" s="52">
        <v>0</v>
      </c>
      <c r="E72" s="142"/>
    </row>
    <row r="73" spans="1:5" x14ac:dyDescent="0.25">
      <c r="A73" s="3" t="str">
        <f>$A$35</f>
        <v>DNA analyst or equivalent</v>
      </c>
      <c r="B73" s="52">
        <v>0</v>
      </c>
      <c r="E73" s="142"/>
    </row>
    <row r="74" spans="1:5" x14ac:dyDescent="0.25">
      <c r="A74" s="3" t="str">
        <f>$A$36</f>
        <v>Casework CODIS administrator or equivalent</v>
      </c>
      <c r="B74" s="52">
        <v>0</v>
      </c>
      <c r="E74" s="142"/>
    </row>
    <row r="75" spans="1:5" x14ac:dyDescent="0.25">
      <c r="A75" s="3" t="str">
        <f>$A$37</f>
        <v>Technical leader or equivalent</v>
      </c>
      <c r="B75" s="52">
        <v>0</v>
      </c>
      <c r="E75" s="142"/>
    </row>
    <row r="76" spans="1:5" x14ac:dyDescent="0.25">
      <c r="A76" s="3" t="str">
        <f>$A$38</f>
        <v>Section supervisor or equivalent</v>
      </c>
      <c r="B76" s="52">
        <v>0</v>
      </c>
      <c r="E76" s="142"/>
    </row>
    <row r="77" spans="1:5" x14ac:dyDescent="0.25">
      <c r="A77" s="3" t="str">
        <f>$A$39</f>
        <v>Lab manager or equivalent</v>
      </c>
      <c r="B77" s="52">
        <v>0</v>
      </c>
      <c r="E77" s="142"/>
    </row>
    <row r="78" spans="1:5" ht="15.75" thickBot="1" x14ac:dyDescent="0.3">
      <c r="A78" s="3" t="str">
        <f>$A$40</f>
        <v>Other</v>
      </c>
      <c r="B78" s="52">
        <v>0</v>
      </c>
      <c r="E78" s="143"/>
    </row>
    <row r="79" spans="1:5" ht="15.75" thickBot="1" x14ac:dyDescent="0.3">
      <c r="A79" s="150" t="s">
        <v>40</v>
      </c>
      <c r="B79" s="151"/>
      <c r="C79" s="151"/>
      <c r="D79" s="151"/>
      <c r="E79" s="152"/>
    </row>
    <row r="80" spans="1:5" ht="15" customHeight="1" x14ac:dyDescent="0.25">
      <c r="A80" s="3" t="str">
        <f>$A$33</f>
        <v>Technician or equivalent</v>
      </c>
      <c r="B80" s="52">
        <v>1</v>
      </c>
      <c r="E80" s="141" t="s">
        <v>135</v>
      </c>
    </row>
    <row r="81" spans="1:5" x14ac:dyDescent="0.25">
      <c r="A81" s="3" t="str">
        <f>$A$34</f>
        <v>Serology analyst or equivalent</v>
      </c>
      <c r="B81" s="52">
        <v>0</v>
      </c>
      <c r="E81" s="142"/>
    </row>
    <row r="82" spans="1:5" x14ac:dyDescent="0.25">
      <c r="A82" s="3" t="str">
        <f>$A$35</f>
        <v>DNA analyst or equivalent</v>
      </c>
      <c r="B82" s="52">
        <v>0</v>
      </c>
      <c r="E82" s="142"/>
    </row>
    <row r="83" spans="1:5" x14ac:dyDescent="0.25">
      <c r="A83" s="3" t="str">
        <f>$A$36</f>
        <v>Casework CODIS administrator or equivalent</v>
      </c>
      <c r="B83" s="52">
        <v>0</v>
      </c>
      <c r="E83" s="142"/>
    </row>
    <row r="84" spans="1:5" x14ac:dyDescent="0.25">
      <c r="A84" s="3" t="str">
        <f>$A$37</f>
        <v>Technical leader or equivalent</v>
      </c>
      <c r="B84" s="52">
        <v>0</v>
      </c>
      <c r="E84" s="142"/>
    </row>
    <row r="85" spans="1:5" x14ac:dyDescent="0.25">
      <c r="A85" s="3" t="str">
        <f>$A$38</f>
        <v>Section supervisor or equivalent</v>
      </c>
      <c r="B85" s="52">
        <v>0</v>
      </c>
      <c r="E85" s="142"/>
    </row>
    <row r="86" spans="1:5" x14ac:dyDescent="0.25">
      <c r="A86" s="3" t="str">
        <f>$A$39</f>
        <v>Lab manager or equivalent</v>
      </c>
      <c r="B86" s="52">
        <v>0</v>
      </c>
      <c r="E86" s="142"/>
    </row>
    <row r="87" spans="1:5" ht="15.75" thickBot="1" x14ac:dyDescent="0.3">
      <c r="A87" s="3" t="str">
        <f>$A$40</f>
        <v>Other</v>
      </c>
      <c r="B87" s="52">
        <v>0</v>
      </c>
      <c r="E87" s="143"/>
    </row>
    <row r="88" spans="1:5" ht="15.75" thickBot="1" x14ac:dyDescent="0.3">
      <c r="A88" s="150" t="s">
        <v>41</v>
      </c>
      <c r="B88" s="151"/>
      <c r="C88" s="151"/>
      <c r="D88" s="151"/>
      <c r="E88" s="152"/>
    </row>
    <row r="89" spans="1:5" ht="15" customHeight="1" x14ac:dyDescent="0.25">
      <c r="A89" s="3" t="str">
        <f>$A$33</f>
        <v>Technician or equivalent</v>
      </c>
      <c r="B89" s="52">
        <v>0</v>
      </c>
      <c r="E89" s="141" t="s">
        <v>136</v>
      </c>
    </row>
    <row r="90" spans="1:5" x14ac:dyDescent="0.25">
      <c r="A90" s="3" t="str">
        <f>$A$34</f>
        <v>Serology analyst or equivalent</v>
      </c>
      <c r="B90" s="52">
        <v>0</v>
      </c>
      <c r="E90" s="142"/>
    </row>
    <row r="91" spans="1:5" x14ac:dyDescent="0.25">
      <c r="A91" s="3" t="str">
        <f>$A$35</f>
        <v>DNA analyst or equivalent</v>
      </c>
      <c r="B91" s="52">
        <v>1</v>
      </c>
      <c r="E91" s="142"/>
    </row>
    <row r="92" spans="1:5" x14ac:dyDescent="0.25">
      <c r="A92" s="3" t="str">
        <f>$A$36</f>
        <v>Casework CODIS administrator or equivalent</v>
      </c>
      <c r="B92" s="52">
        <v>0</v>
      </c>
      <c r="E92" s="142"/>
    </row>
    <row r="93" spans="1:5" x14ac:dyDescent="0.25">
      <c r="A93" s="3" t="str">
        <f>$A$37</f>
        <v>Technical leader or equivalent</v>
      </c>
      <c r="B93" s="52">
        <v>0</v>
      </c>
      <c r="E93" s="142"/>
    </row>
    <row r="94" spans="1:5" x14ac:dyDescent="0.25">
      <c r="A94" s="3" t="str">
        <f>$A$38</f>
        <v>Section supervisor or equivalent</v>
      </c>
      <c r="B94" s="52">
        <v>0</v>
      </c>
      <c r="E94" s="142"/>
    </row>
    <row r="95" spans="1:5" x14ac:dyDescent="0.25">
      <c r="A95" s="3" t="str">
        <f>$A$39</f>
        <v>Lab manager or equivalent</v>
      </c>
      <c r="B95" s="52">
        <v>0</v>
      </c>
      <c r="E95" s="142"/>
    </row>
    <row r="96" spans="1:5" ht="15.75" thickBot="1" x14ac:dyDescent="0.3">
      <c r="A96" s="3" t="str">
        <f>$A$40</f>
        <v>Other</v>
      </c>
      <c r="B96" s="52">
        <v>0</v>
      </c>
      <c r="E96" s="143"/>
    </row>
    <row r="97" spans="1:5" ht="15.75" thickBot="1" x14ac:dyDescent="0.3">
      <c r="A97" s="150" t="s">
        <v>42</v>
      </c>
      <c r="B97" s="151"/>
      <c r="C97" s="151"/>
      <c r="D97" s="151"/>
      <c r="E97" s="152"/>
    </row>
    <row r="98" spans="1:5" ht="15" customHeight="1" x14ac:dyDescent="0.25">
      <c r="A98" s="3" t="str">
        <f>$A$33</f>
        <v>Technician or equivalent</v>
      </c>
      <c r="B98" s="52">
        <v>0</v>
      </c>
      <c r="E98" s="141" t="s">
        <v>134</v>
      </c>
    </row>
    <row r="99" spans="1:5" x14ac:dyDescent="0.25">
      <c r="A99" s="3" t="str">
        <f>$A$34</f>
        <v>Serology analyst or equivalent</v>
      </c>
      <c r="B99" s="52">
        <v>0</v>
      </c>
      <c r="E99" s="142"/>
    </row>
    <row r="100" spans="1:5" x14ac:dyDescent="0.25">
      <c r="A100" s="3" t="str">
        <f>$A$35</f>
        <v>DNA analyst or equivalent</v>
      </c>
      <c r="B100" s="52">
        <v>1</v>
      </c>
      <c r="E100" s="142"/>
    </row>
    <row r="101" spans="1:5" x14ac:dyDescent="0.25">
      <c r="A101" s="3" t="str">
        <f>$A$36</f>
        <v>Casework CODIS administrator or equivalent</v>
      </c>
      <c r="B101" s="52">
        <v>0</v>
      </c>
      <c r="E101" s="142"/>
    </row>
    <row r="102" spans="1:5" x14ac:dyDescent="0.25">
      <c r="A102" s="3" t="str">
        <f>$A$37</f>
        <v>Technical leader or equivalent</v>
      </c>
      <c r="B102" s="52">
        <v>0</v>
      </c>
      <c r="E102" s="142"/>
    </row>
    <row r="103" spans="1:5" x14ac:dyDescent="0.25">
      <c r="A103" s="3" t="str">
        <f>$A$38</f>
        <v>Section supervisor or equivalent</v>
      </c>
      <c r="B103" s="52">
        <v>0</v>
      </c>
      <c r="E103" s="142"/>
    </row>
    <row r="104" spans="1:5" x14ac:dyDescent="0.25">
      <c r="A104" s="3" t="str">
        <f>$A$39</f>
        <v>Lab manager or equivalent</v>
      </c>
      <c r="B104" s="52">
        <v>0</v>
      </c>
      <c r="E104" s="142"/>
    </row>
    <row r="105" spans="1:5" ht="15.75" thickBot="1" x14ac:dyDescent="0.3">
      <c r="A105" s="3" t="str">
        <f>$A$40</f>
        <v>Other</v>
      </c>
      <c r="B105" s="52">
        <v>0</v>
      </c>
      <c r="E105" s="143"/>
    </row>
    <row r="106" spans="1:5" ht="15.75" thickBot="1" x14ac:dyDescent="0.3">
      <c r="A106" s="150" t="s">
        <v>43</v>
      </c>
      <c r="B106" s="151"/>
      <c r="C106" s="151"/>
      <c r="D106" s="151"/>
      <c r="E106" s="152"/>
    </row>
    <row r="107" spans="1:5" ht="15" customHeight="1" x14ac:dyDescent="0.25">
      <c r="A107" s="3" t="str">
        <f>$A$33</f>
        <v>Technician or equivalent</v>
      </c>
      <c r="B107" s="52">
        <v>0</v>
      </c>
      <c r="E107" s="141" t="s">
        <v>134</v>
      </c>
    </row>
    <row r="108" spans="1:5" x14ac:dyDescent="0.25">
      <c r="A108" s="3" t="str">
        <f>$A$34</f>
        <v>Serology analyst or equivalent</v>
      </c>
      <c r="B108" s="52">
        <v>0</v>
      </c>
      <c r="E108" s="142"/>
    </row>
    <row r="109" spans="1:5" x14ac:dyDescent="0.25">
      <c r="A109" s="3" t="str">
        <f>$A$35</f>
        <v>DNA analyst or equivalent</v>
      </c>
      <c r="B109" s="52">
        <v>1</v>
      </c>
      <c r="E109" s="142"/>
    </row>
    <row r="110" spans="1:5" x14ac:dyDescent="0.25">
      <c r="A110" s="3" t="str">
        <f>$A$36</f>
        <v>Casework CODIS administrator or equivalent</v>
      </c>
      <c r="B110" s="52">
        <v>0</v>
      </c>
      <c r="E110" s="142"/>
    </row>
    <row r="111" spans="1:5" x14ac:dyDescent="0.25">
      <c r="A111" s="3" t="str">
        <f>$A$37</f>
        <v>Technical leader or equivalent</v>
      </c>
      <c r="B111" s="52">
        <v>0</v>
      </c>
      <c r="E111" s="142"/>
    </row>
    <row r="112" spans="1:5" x14ac:dyDescent="0.25">
      <c r="A112" s="3" t="str">
        <f>$A$38</f>
        <v>Section supervisor or equivalent</v>
      </c>
      <c r="B112" s="52">
        <v>0</v>
      </c>
      <c r="E112" s="142"/>
    </row>
    <row r="113" spans="1:5" x14ac:dyDescent="0.25">
      <c r="A113" s="3" t="str">
        <f>$A$39</f>
        <v>Lab manager or equivalent</v>
      </c>
      <c r="B113" s="52">
        <v>0</v>
      </c>
      <c r="E113" s="142"/>
    </row>
    <row r="114" spans="1:5" ht="15.75" thickBot="1" x14ac:dyDescent="0.3">
      <c r="A114" s="3" t="str">
        <f>$A$40</f>
        <v>Other</v>
      </c>
      <c r="B114" s="52">
        <v>0</v>
      </c>
      <c r="E114" s="143"/>
    </row>
    <row r="115" spans="1:5" ht="15.75" thickBot="1" x14ac:dyDescent="0.3">
      <c r="A115" s="150" t="s">
        <v>44</v>
      </c>
      <c r="B115" s="151"/>
      <c r="C115" s="151"/>
      <c r="D115" s="151"/>
      <c r="E115" s="152"/>
    </row>
    <row r="116" spans="1:5" ht="15" customHeight="1" x14ac:dyDescent="0.25">
      <c r="A116" s="3" t="str">
        <f>$A$33</f>
        <v>Technician or equivalent</v>
      </c>
      <c r="B116" s="52">
        <v>0</v>
      </c>
      <c r="E116" s="141" t="s">
        <v>134</v>
      </c>
    </row>
    <row r="117" spans="1:5" x14ac:dyDescent="0.25">
      <c r="A117" s="3" t="str">
        <f>$A$34</f>
        <v>Serology analyst or equivalent</v>
      </c>
      <c r="B117" s="52">
        <v>0</v>
      </c>
      <c r="E117" s="142"/>
    </row>
    <row r="118" spans="1:5" x14ac:dyDescent="0.25">
      <c r="A118" s="3" t="str">
        <f>$A$35</f>
        <v>DNA analyst or equivalent</v>
      </c>
      <c r="B118" s="52">
        <v>2</v>
      </c>
      <c r="E118" s="142"/>
    </row>
    <row r="119" spans="1:5" x14ac:dyDescent="0.25">
      <c r="A119" s="3" t="str">
        <f>$A$36</f>
        <v>Casework CODIS administrator or equivalent</v>
      </c>
      <c r="B119" s="52">
        <v>0</v>
      </c>
      <c r="E119" s="142"/>
    </row>
    <row r="120" spans="1:5" x14ac:dyDescent="0.25">
      <c r="A120" s="3" t="str">
        <f>$A$37</f>
        <v>Technical leader or equivalent</v>
      </c>
      <c r="B120" s="52">
        <v>0</v>
      </c>
      <c r="E120" s="142"/>
    </row>
    <row r="121" spans="1:5" x14ac:dyDescent="0.25">
      <c r="A121" s="3" t="str">
        <f>$A$38</f>
        <v>Section supervisor or equivalent</v>
      </c>
      <c r="B121" s="52">
        <v>0</v>
      </c>
      <c r="E121" s="142"/>
    </row>
    <row r="122" spans="1:5" x14ac:dyDescent="0.25">
      <c r="A122" s="3" t="str">
        <f>$A$39</f>
        <v>Lab manager or equivalent</v>
      </c>
      <c r="B122" s="52">
        <v>0</v>
      </c>
      <c r="E122" s="142"/>
    </row>
    <row r="123" spans="1:5" ht="15.75" thickBot="1" x14ac:dyDescent="0.3">
      <c r="A123" s="3" t="str">
        <f>$A$40</f>
        <v>Other</v>
      </c>
      <c r="B123" s="52">
        <v>0</v>
      </c>
      <c r="E123" s="143"/>
    </row>
    <row r="124" spans="1:5" ht="15.75" thickBot="1" x14ac:dyDescent="0.3">
      <c r="A124" s="150" t="s">
        <v>45</v>
      </c>
      <c r="B124" s="151"/>
      <c r="C124" s="151"/>
      <c r="D124" s="151"/>
      <c r="E124" s="152"/>
    </row>
    <row r="125" spans="1:5" ht="15" customHeight="1" x14ac:dyDescent="0.25">
      <c r="A125" s="3" t="str">
        <f>$A$33</f>
        <v>Technician or equivalent</v>
      </c>
      <c r="B125" s="52">
        <v>0</v>
      </c>
      <c r="E125" s="141" t="s">
        <v>134</v>
      </c>
    </row>
    <row r="126" spans="1:5" x14ac:dyDescent="0.25">
      <c r="A126" s="3" t="str">
        <f>$A$34</f>
        <v>Serology analyst or equivalent</v>
      </c>
      <c r="B126" s="52">
        <v>0</v>
      </c>
      <c r="E126" s="142"/>
    </row>
    <row r="127" spans="1:5" x14ac:dyDescent="0.25">
      <c r="A127" s="3" t="str">
        <f>$A$35</f>
        <v>DNA analyst or equivalent</v>
      </c>
      <c r="B127" s="52">
        <v>0</v>
      </c>
      <c r="E127" s="142"/>
    </row>
    <row r="128" spans="1:5" x14ac:dyDescent="0.25">
      <c r="A128" s="3" t="str">
        <f>$A$36</f>
        <v>Casework CODIS administrator or equivalent</v>
      </c>
      <c r="B128" s="52">
        <v>0.1</v>
      </c>
      <c r="E128" s="142"/>
    </row>
    <row r="129" spans="1:5" x14ac:dyDescent="0.25">
      <c r="A129" s="3" t="str">
        <f>$A$37</f>
        <v>Technical leader or equivalent</v>
      </c>
      <c r="B129" s="52">
        <v>0</v>
      </c>
      <c r="E129" s="142"/>
    </row>
    <row r="130" spans="1:5" x14ac:dyDescent="0.25">
      <c r="A130" s="3" t="str">
        <f>$A$38</f>
        <v>Section supervisor or equivalent</v>
      </c>
      <c r="B130" s="52">
        <v>0</v>
      </c>
      <c r="E130" s="142"/>
    </row>
    <row r="131" spans="1:5" x14ac:dyDescent="0.25">
      <c r="A131" s="3" t="str">
        <f>$A$39</f>
        <v>Lab manager or equivalent</v>
      </c>
      <c r="B131" s="52">
        <v>0</v>
      </c>
      <c r="E131" s="142"/>
    </row>
    <row r="132" spans="1:5" ht="15.75" thickBot="1" x14ac:dyDescent="0.3">
      <c r="A132" s="3" t="str">
        <f>$A$40</f>
        <v>Other</v>
      </c>
      <c r="B132" s="52">
        <v>0</v>
      </c>
      <c r="E132" s="143"/>
    </row>
    <row r="133" spans="1:5" ht="15.75" thickBot="1" x14ac:dyDescent="0.3">
      <c r="A133" s="150" t="s">
        <v>46</v>
      </c>
      <c r="B133" s="151"/>
      <c r="C133" s="151"/>
      <c r="D133" s="151"/>
      <c r="E133" s="152"/>
    </row>
    <row r="134" spans="1:5" ht="15" customHeight="1" x14ac:dyDescent="0.25">
      <c r="A134" s="3" t="str">
        <f>$A$33</f>
        <v>Technician or equivalent</v>
      </c>
      <c r="B134" s="52">
        <v>0</v>
      </c>
      <c r="E134" s="141" t="s">
        <v>39</v>
      </c>
    </row>
    <row r="135" spans="1:5" x14ac:dyDescent="0.25">
      <c r="A135" s="3" t="str">
        <f>$A$34</f>
        <v>Serology analyst or equivalent</v>
      </c>
      <c r="B135" s="52">
        <v>0</v>
      </c>
      <c r="E135" s="142"/>
    </row>
    <row r="136" spans="1:5" x14ac:dyDescent="0.25">
      <c r="A136" s="3" t="str">
        <f>$A$35</f>
        <v>DNA analyst or equivalent</v>
      </c>
      <c r="B136" s="52">
        <v>0.2</v>
      </c>
      <c r="E136" s="142"/>
    </row>
    <row r="137" spans="1:5" x14ac:dyDescent="0.25">
      <c r="A137" s="3" t="str">
        <f>$A$36</f>
        <v>Casework CODIS administrator or equivalent</v>
      </c>
      <c r="B137" s="52">
        <v>0</v>
      </c>
      <c r="E137" s="142"/>
    </row>
    <row r="138" spans="1:5" x14ac:dyDescent="0.25">
      <c r="A138" s="3" t="str">
        <f>$A$37</f>
        <v>Technical leader or equivalent</v>
      </c>
      <c r="B138" s="52">
        <v>0</v>
      </c>
      <c r="E138" s="142"/>
    </row>
    <row r="139" spans="1:5" x14ac:dyDescent="0.25">
      <c r="A139" s="3" t="str">
        <f>$A$38</f>
        <v>Section supervisor or equivalent</v>
      </c>
      <c r="B139" s="52">
        <v>0</v>
      </c>
      <c r="E139" s="142"/>
    </row>
    <row r="140" spans="1:5" x14ac:dyDescent="0.25">
      <c r="A140" s="3" t="str">
        <f>$A$39</f>
        <v>Lab manager or equivalent</v>
      </c>
      <c r="B140" s="52">
        <v>0</v>
      </c>
      <c r="E140" s="142"/>
    </row>
    <row r="141" spans="1:5" ht="15.75" thickBot="1" x14ac:dyDescent="0.3">
      <c r="A141" s="3" t="str">
        <f>$A$40</f>
        <v>Other</v>
      </c>
      <c r="B141" s="52">
        <v>0</v>
      </c>
      <c r="E141" s="143"/>
    </row>
    <row r="142" spans="1:5" ht="15" customHeight="1" x14ac:dyDescent="0.25">
      <c r="A142" s="144" t="s">
        <v>47</v>
      </c>
      <c r="B142" s="145"/>
      <c r="C142" s="145"/>
      <c r="D142" s="145"/>
      <c r="E142" s="146"/>
    </row>
    <row r="143" spans="1:5" ht="15.75" customHeight="1" thickBot="1" x14ac:dyDescent="0.3">
      <c r="A143" s="147"/>
      <c r="B143" s="148"/>
      <c r="C143" s="148"/>
      <c r="D143" s="148"/>
      <c r="E143" s="149"/>
    </row>
  </sheetData>
  <mergeCells count="39">
    <mergeCell ref="C7:D7"/>
    <mergeCell ref="A20:E20"/>
    <mergeCell ref="A25:B26"/>
    <mergeCell ref="A1:E6"/>
    <mergeCell ref="A12:E12"/>
    <mergeCell ref="E44:E51"/>
    <mergeCell ref="E28:E30"/>
    <mergeCell ref="A8:E8"/>
    <mergeCell ref="A27:E27"/>
    <mergeCell ref="C25:D26"/>
    <mergeCell ref="A15:E15"/>
    <mergeCell ref="E32:E40"/>
    <mergeCell ref="A31:E31"/>
    <mergeCell ref="E18:E19"/>
    <mergeCell ref="E21:E26"/>
    <mergeCell ref="A41:E41"/>
    <mergeCell ref="A42:E42"/>
    <mergeCell ref="A142:E143"/>
    <mergeCell ref="A43:E43"/>
    <mergeCell ref="A52:E52"/>
    <mergeCell ref="A61:E61"/>
    <mergeCell ref="A88:E88"/>
    <mergeCell ref="A97:E97"/>
    <mergeCell ref="A106:E106"/>
    <mergeCell ref="E53:E60"/>
    <mergeCell ref="A70:E70"/>
    <mergeCell ref="A79:E79"/>
    <mergeCell ref="E62:E69"/>
    <mergeCell ref="E71:E78"/>
    <mergeCell ref="E80:E87"/>
    <mergeCell ref="A115:E115"/>
    <mergeCell ref="A124:E124"/>
    <mergeCell ref="A133:E133"/>
    <mergeCell ref="E134:E141"/>
    <mergeCell ref="E89:E96"/>
    <mergeCell ref="E98:E105"/>
    <mergeCell ref="E107:E114"/>
    <mergeCell ref="E116:E123"/>
    <mergeCell ref="E125:E132"/>
  </mergeCells>
  <conditionalFormatting sqref="C25:D26">
    <cfRule type="cellIs" dxfId="2" priority="1" operator="equal">
      <formula>1</formula>
    </cfRule>
    <cfRule type="cellIs" dxfId="1" priority="2" operator="lessThan">
      <formula>1</formula>
    </cfRule>
    <cfRule type="cellIs" dxfId="0" priority="3" operator="greaterThan">
      <formula>1</formula>
    </cfRule>
  </conditionalFormatting>
  <dataValidations count="1">
    <dataValidation type="list" allowBlank="1" showInputMessage="1" showErrorMessage="1" sqref="B16:B17" xr:uid="{0AE42A94-EF94-4C66-ACBE-4B079AE94588}">
      <formula1>"Yes, No"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1E512-27E2-40C0-9A36-064979DCEA86}">
  <dimension ref="A1:D32"/>
  <sheetViews>
    <sheetView zoomScale="115" zoomScaleNormal="115" workbookViewId="0">
      <selection activeCell="F12" sqref="F12"/>
    </sheetView>
  </sheetViews>
  <sheetFormatPr defaultColWidth="8.7109375" defaultRowHeight="15" x14ac:dyDescent="0.25"/>
  <cols>
    <col min="1" max="1" width="84.7109375" customWidth="1"/>
    <col min="2" max="2" width="12.28515625" style="47" bestFit="1" customWidth="1"/>
    <col min="3" max="3" width="9.28515625" style="8"/>
    <col min="4" max="4" width="31.7109375" style="11" customWidth="1"/>
    <col min="6" max="6" width="26.42578125" bestFit="1" customWidth="1"/>
  </cols>
  <sheetData>
    <row r="1" spans="1:4" x14ac:dyDescent="0.25">
      <c r="A1" s="1" t="s">
        <v>48</v>
      </c>
    </row>
    <row r="2" spans="1:4" x14ac:dyDescent="0.25">
      <c r="A2" t="s">
        <v>49</v>
      </c>
      <c r="B2" s="54"/>
    </row>
    <row r="3" spans="1:4" ht="15.75" thickBot="1" x14ac:dyDescent="0.3">
      <c r="B3" s="54"/>
    </row>
    <row r="4" spans="1:4" ht="15.75" thickBot="1" x14ac:dyDescent="0.3">
      <c r="B4" s="117" t="s">
        <v>50</v>
      </c>
      <c r="D4" s="11" t="s">
        <v>51</v>
      </c>
    </row>
    <row r="5" spans="1:4" ht="15.75" thickBot="1" x14ac:dyDescent="0.3">
      <c r="A5" s="4" t="s">
        <v>52</v>
      </c>
      <c r="B5" s="118"/>
    </row>
    <row r="6" spans="1:4" s="2" customFormat="1" x14ac:dyDescent="0.25">
      <c r="A6" s="3" t="s">
        <v>28</v>
      </c>
      <c r="B6" s="119">
        <f>('User Input'!D33*1.3)/2080</f>
        <v>31.25</v>
      </c>
      <c r="C6" s="12"/>
      <c r="D6" s="186" t="s">
        <v>122</v>
      </c>
    </row>
    <row r="7" spans="1:4" s="2" customFormat="1" x14ac:dyDescent="0.25">
      <c r="A7" s="3" t="s">
        <v>29</v>
      </c>
      <c r="B7" s="119">
        <f>('User Input'!D34*1.3)/2080</f>
        <v>37.5</v>
      </c>
      <c r="C7" s="12"/>
      <c r="D7" s="186"/>
    </row>
    <row r="8" spans="1:4" s="2" customFormat="1" x14ac:dyDescent="0.25">
      <c r="A8" s="3" t="s">
        <v>30</v>
      </c>
      <c r="B8" s="119">
        <f>('User Input'!D35*1.3)/2080</f>
        <v>43.75</v>
      </c>
      <c r="C8" s="12"/>
      <c r="D8" s="186"/>
    </row>
    <row r="9" spans="1:4" s="2" customFormat="1" x14ac:dyDescent="0.25">
      <c r="A9" s="3" t="s">
        <v>31</v>
      </c>
      <c r="B9" s="119">
        <f>('User Input'!D36*1.3)/2080</f>
        <v>50</v>
      </c>
      <c r="C9" s="12"/>
      <c r="D9" s="186"/>
    </row>
    <row r="10" spans="1:4" s="2" customFormat="1" x14ac:dyDescent="0.25">
      <c r="A10" s="3" t="s">
        <v>53</v>
      </c>
      <c r="B10" s="119">
        <f>('User Input'!D37*1.3)/2080</f>
        <v>56.25</v>
      </c>
      <c r="C10" s="12"/>
      <c r="D10" s="186"/>
    </row>
    <row r="11" spans="1:4" s="2" customFormat="1" x14ac:dyDescent="0.25">
      <c r="A11" s="3" t="s">
        <v>33</v>
      </c>
      <c r="B11" s="119">
        <f>('User Input'!D38*1.3)/2080</f>
        <v>56.25</v>
      </c>
      <c r="C11" s="12"/>
      <c r="D11" s="186"/>
    </row>
    <row r="12" spans="1:4" s="2" customFormat="1" x14ac:dyDescent="0.25">
      <c r="A12" s="3" t="s">
        <v>54</v>
      </c>
      <c r="B12" s="119">
        <f>('User Input'!D39*1.3)/2080</f>
        <v>62.5</v>
      </c>
      <c r="C12" s="12"/>
      <c r="D12" s="186"/>
    </row>
    <row r="13" spans="1:4" s="2" customFormat="1" ht="15.75" thickBot="1" x14ac:dyDescent="0.3">
      <c r="A13" s="3" t="s">
        <v>55</v>
      </c>
      <c r="B13" s="119">
        <f>('User Input'!D40*1.3)/2080</f>
        <v>43.75</v>
      </c>
      <c r="C13" s="12"/>
      <c r="D13" s="186"/>
    </row>
    <row r="14" spans="1:4" s="2" customFormat="1" ht="15.75" thickBot="1" x14ac:dyDescent="0.3">
      <c r="A14" s="4" t="s">
        <v>56</v>
      </c>
      <c r="B14" s="117"/>
      <c r="C14" s="8"/>
    </row>
    <row r="15" spans="1:4" s="2" customFormat="1" x14ac:dyDescent="0.25">
      <c r="A15" s="5" t="s">
        <v>57</v>
      </c>
      <c r="B15" s="120">
        <f>SUMPRODUCT('User Input'!$B$44:$B$51,'Inputs summary'!B6:B13)+SUMPRODUCT('User Input'!$B$53:$B$60,'Inputs summary'!B6:B13)</f>
        <v>262.5</v>
      </c>
      <c r="C15" s="9"/>
    </row>
    <row r="16" spans="1:4" s="2" customFormat="1" x14ac:dyDescent="0.25">
      <c r="A16" s="3" t="s">
        <v>58</v>
      </c>
      <c r="B16" s="121">
        <f>SUMPRODUCT('User Input'!$B$62:$B$69,'Inputs summary'!B6:B13)</f>
        <v>78.125</v>
      </c>
      <c r="C16" s="9"/>
    </row>
    <row r="17" spans="1:4" s="2" customFormat="1" x14ac:dyDescent="0.25">
      <c r="A17" s="3" t="s">
        <v>59</v>
      </c>
      <c r="B17" s="121">
        <f>SUMPRODUCT('User Input'!$B$71:$B$78,'Inputs summary'!B6:B13)</f>
        <v>31.25</v>
      </c>
      <c r="C17" s="9"/>
    </row>
    <row r="18" spans="1:4" s="2" customFormat="1" x14ac:dyDescent="0.25">
      <c r="A18" s="3" t="s">
        <v>60</v>
      </c>
      <c r="B18" s="121">
        <f>SUMPRODUCT('User Input'!$B$80:$B$87,'Inputs summary'!B6:B13)</f>
        <v>31.25</v>
      </c>
      <c r="C18" s="9"/>
    </row>
    <row r="19" spans="1:4" s="2" customFormat="1" x14ac:dyDescent="0.25">
      <c r="A19" s="3" t="s">
        <v>61</v>
      </c>
      <c r="B19" s="121">
        <f>SUMPRODUCT('User Input'!$B$89:$B$96,'Inputs summary'!B6:B13)+SUMPRODUCT('User Input'!$B$98:$B$105,'Inputs summary'!B6:B13)+SUMPRODUCT('User Input'!$B$107:$B$114,'Inputs summary'!B6:B13)+SUMPRODUCT('User Input'!$B$116:$B$123,'Inputs summary'!B6:B13)</f>
        <v>218.75</v>
      </c>
      <c r="C19" s="9"/>
    </row>
    <row r="20" spans="1:4" s="2" customFormat="1" ht="15.75" thickBot="1" x14ac:dyDescent="0.3">
      <c r="A20" s="6" t="s">
        <v>62</v>
      </c>
      <c r="B20" s="122">
        <f>SUMPRODUCT('User Input'!$B$125:$B$132,'Inputs summary'!B6:B13)+SUMPRODUCT('User Input'!$B$134:$B$141,'Inputs summary'!B6:B13)</f>
        <v>13.75</v>
      </c>
      <c r="C20" s="9"/>
    </row>
    <row r="21" spans="1:4" s="2" customFormat="1" ht="15.75" thickBot="1" x14ac:dyDescent="0.3">
      <c r="A21" s="4" t="s">
        <v>63</v>
      </c>
      <c r="B21" s="123"/>
      <c r="C21" s="8"/>
    </row>
    <row r="22" spans="1:4" s="2" customFormat="1" x14ac:dyDescent="0.25">
      <c r="A22" s="5" t="s">
        <v>57</v>
      </c>
      <c r="B22" s="124">
        <f>IF('User Input'!B16="Yes",0.9,1-'User Input'!B21)</f>
        <v>0.9</v>
      </c>
      <c r="C22" s="8"/>
      <c r="D22" s="11" t="s">
        <v>64</v>
      </c>
    </row>
    <row r="23" spans="1:4" s="2" customFormat="1" ht="15.75" thickBot="1" x14ac:dyDescent="0.3">
      <c r="A23" s="3" t="s">
        <v>65</v>
      </c>
      <c r="B23" s="124">
        <f>1-'User Input'!B22</f>
        <v>0.9</v>
      </c>
      <c r="C23" s="8"/>
      <c r="D23" s="11" t="s">
        <v>66</v>
      </c>
    </row>
    <row r="24" spans="1:4" s="2" customFormat="1" ht="15.75" thickBot="1" x14ac:dyDescent="0.3">
      <c r="A24" s="4" t="s">
        <v>67</v>
      </c>
      <c r="B24" s="118"/>
      <c r="C24" s="8"/>
    </row>
    <row r="25" spans="1:4" s="2" customFormat="1" ht="15.75" thickBot="1" x14ac:dyDescent="0.3">
      <c r="A25" s="6" t="s">
        <v>68</v>
      </c>
      <c r="B25" s="119">
        <f>'User Input'!B24</f>
        <v>0.53</v>
      </c>
      <c r="C25" s="8"/>
    </row>
    <row r="26" spans="1:4" ht="15.75" thickBot="1" x14ac:dyDescent="0.3">
      <c r="A26" s="46" t="s">
        <v>69</v>
      </c>
      <c r="B26" s="118"/>
    </row>
    <row r="27" spans="1:4" x14ac:dyDescent="0.25">
      <c r="A27" s="3" t="s">
        <v>22</v>
      </c>
      <c r="B27" s="119">
        <f>'User Input'!B28</f>
        <v>1</v>
      </c>
    </row>
    <row r="28" spans="1:4" x14ac:dyDescent="0.25">
      <c r="A28" s="3" t="s">
        <v>23</v>
      </c>
      <c r="B28" s="119">
        <f>'User Input'!B29</f>
        <v>1</v>
      </c>
    </row>
    <row r="29" spans="1:4" x14ac:dyDescent="0.25">
      <c r="A29" s="3" t="s">
        <v>70</v>
      </c>
      <c r="B29" s="119">
        <f>'User Input'!B30</f>
        <v>1</v>
      </c>
    </row>
    <row r="30" spans="1:4" x14ac:dyDescent="0.25">
      <c r="A30" s="3" t="s">
        <v>71</v>
      </c>
      <c r="B30" s="124">
        <f>'User Input'!B18</f>
        <v>2</v>
      </c>
      <c r="C30" s="7"/>
    </row>
    <row r="31" spans="1:4" ht="30" x14ac:dyDescent="0.25">
      <c r="A31" s="55" t="s">
        <v>72</v>
      </c>
      <c r="B31" s="125">
        <f>'User Input'!B19</f>
        <v>2.5000000000000001E-2</v>
      </c>
      <c r="C31" s="7"/>
    </row>
    <row r="32" spans="1:4" ht="15.75" thickBot="1" x14ac:dyDescent="0.3">
      <c r="A32" s="6" t="s">
        <v>73</v>
      </c>
      <c r="B32" s="123">
        <f>'User Input'!B10</f>
        <v>157</v>
      </c>
    </row>
  </sheetData>
  <mergeCells count="1">
    <mergeCell ref="D6:D13"/>
  </mergeCells>
  <phoneticPr fontId="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A8F11-775C-4F86-9C61-1D4F368D2699}">
  <dimension ref="A1:E32"/>
  <sheetViews>
    <sheetView zoomScaleNormal="100" workbookViewId="0">
      <selection activeCell="D26" sqref="D26"/>
    </sheetView>
  </sheetViews>
  <sheetFormatPr defaultColWidth="9.28515625" defaultRowHeight="15" x14ac:dyDescent="0.25"/>
  <cols>
    <col min="1" max="1" width="65" style="14" bestFit="1" customWidth="1"/>
    <col min="2" max="3" width="19.28515625" style="14" customWidth="1"/>
    <col min="4" max="4" width="19.28515625" style="41" customWidth="1"/>
    <col min="5" max="5" width="19.28515625" style="14" customWidth="1"/>
    <col min="6" max="16384" width="9.28515625" style="14"/>
  </cols>
  <sheetData>
    <row r="1" spans="1:5" x14ac:dyDescent="0.25">
      <c r="A1" s="13" t="s">
        <v>74</v>
      </c>
    </row>
    <row r="2" spans="1:5" ht="15.75" thickBot="1" x14ac:dyDescent="0.3"/>
    <row r="3" spans="1:5" ht="15.75" thickBot="1" x14ac:dyDescent="0.3">
      <c r="A3" s="15" t="s">
        <v>57</v>
      </c>
      <c r="B3" s="126" t="s">
        <v>50</v>
      </c>
      <c r="C3" s="22"/>
    </row>
    <row r="4" spans="1:5" x14ac:dyDescent="0.25">
      <c r="A4" s="18" t="s">
        <v>75</v>
      </c>
      <c r="B4" s="127">
        <f>'Inputs summary'!B15</f>
        <v>262.5</v>
      </c>
      <c r="C4" s="16"/>
      <c r="D4" s="43"/>
      <c r="E4" s="17"/>
    </row>
    <row r="5" spans="1:5" ht="15.75" thickBot="1" x14ac:dyDescent="0.3">
      <c r="A5" s="19" t="s">
        <v>76</v>
      </c>
      <c r="B5" s="128">
        <f>'Inputs summary'!B22</f>
        <v>0.9</v>
      </c>
      <c r="C5" s="25"/>
      <c r="D5" s="40"/>
      <c r="E5" s="20"/>
    </row>
    <row r="6" spans="1:5" ht="15.75" thickBot="1" x14ac:dyDescent="0.3">
      <c r="A6" s="21"/>
      <c r="B6" s="22"/>
      <c r="C6" s="22"/>
    </row>
    <row r="7" spans="1:5" ht="15.75" thickBot="1" x14ac:dyDescent="0.3">
      <c r="A7" s="23" t="s">
        <v>58</v>
      </c>
      <c r="B7" s="126" t="s">
        <v>50</v>
      </c>
      <c r="C7" s="22"/>
    </row>
    <row r="8" spans="1:5" ht="15.75" thickBot="1" x14ac:dyDescent="0.3">
      <c r="A8" s="24" t="s">
        <v>77</v>
      </c>
      <c r="B8" s="129">
        <f>'Inputs summary'!B16/'Inputs summary'!B27</f>
        <v>78.125</v>
      </c>
      <c r="C8" s="16"/>
      <c r="D8" s="43"/>
      <c r="E8" s="17"/>
    </row>
    <row r="9" spans="1:5" ht="15.75" thickBot="1" x14ac:dyDescent="0.3">
      <c r="A9" s="18"/>
      <c r="B9" s="25"/>
      <c r="C9" s="25"/>
      <c r="D9" s="40"/>
      <c r="E9" s="26"/>
    </row>
    <row r="10" spans="1:5" ht="15.75" thickBot="1" x14ac:dyDescent="0.3">
      <c r="A10" s="15" t="s">
        <v>59</v>
      </c>
      <c r="B10" s="126" t="s">
        <v>50</v>
      </c>
      <c r="C10" s="22"/>
    </row>
    <row r="11" spans="1:5" x14ac:dyDescent="0.25">
      <c r="A11" s="18" t="s">
        <v>78</v>
      </c>
      <c r="B11" s="127">
        <f>'Inputs summary'!B17/'Inputs summary'!B28</f>
        <v>31.25</v>
      </c>
      <c r="C11" s="16"/>
      <c r="D11" s="43"/>
      <c r="E11" s="17"/>
    </row>
    <row r="12" spans="1:5" ht="15.75" thickBot="1" x14ac:dyDescent="0.3">
      <c r="A12" s="19" t="s">
        <v>79</v>
      </c>
      <c r="B12" s="128">
        <f>'Inputs summary'!B23</f>
        <v>0.9</v>
      </c>
      <c r="C12" s="25"/>
      <c r="D12" s="40"/>
      <c r="E12" s="20"/>
    </row>
    <row r="13" spans="1:5" ht="15.75" thickBot="1" x14ac:dyDescent="0.3">
      <c r="A13" s="18"/>
      <c r="B13" s="25"/>
      <c r="C13" s="25"/>
      <c r="D13" s="40"/>
      <c r="E13" s="20"/>
    </row>
    <row r="14" spans="1:5" ht="15.75" thickBot="1" x14ac:dyDescent="0.3">
      <c r="A14" s="23" t="s">
        <v>60</v>
      </c>
      <c r="B14" s="126" t="s">
        <v>50</v>
      </c>
      <c r="C14" s="22"/>
    </row>
    <row r="15" spans="1:5" ht="15.75" thickBot="1" x14ac:dyDescent="0.3">
      <c r="A15" s="24" t="s">
        <v>80</v>
      </c>
      <c r="B15" s="129">
        <f>'Inputs summary'!B18/'Inputs summary'!B29</f>
        <v>31.25</v>
      </c>
      <c r="C15" s="16"/>
      <c r="D15" s="43"/>
      <c r="E15" s="17"/>
    </row>
    <row r="16" spans="1:5" ht="15.75" thickBot="1" x14ac:dyDescent="0.3">
      <c r="A16" s="21"/>
      <c r="B16" s="22"/>
      <c r="C16" s="22"/>
    </row>
    <row r="17" spans="1:5" ht="15.75" thickBot="1" x14ac:dyDescent="0.3">
      <c r="A17" s="23" t="s">
        <v>81</v>
      </c>
      <c r="B17" s="126" t="s">
        <v>50</v>
      </c>
      <c r="C17" s="22"/>
    </row>
    <row r="18" spans="1:5" ht="15.75" thickBot="1" x14ac:dyDescent="0.3">
      <c r="A18" s="24" t="s">
        <v>82</v>
      </c>
      <c r="B18" s="129">
        <f>'Inputs summary'!B19</f>
        <v>218.75</v>
      </c>
      <c r="C18" s="16"/>
      <c r="D18" s="43"/>
      <c r="E18" s="17"/>
    </row>
    <row r="19" spans="1:5" ht="15.75" thickBot="1" x14ac:dyDescent="0.3">
      <c r="A19" s="21"/>
      <c r="B19" s="22"/>
      <c r="C19" s="22"/>
    </row>
    <row r="20" spans="1:5" ht="15.75" thickBot="1" x14ac:dyDescent="0.3">
      <c r="A20" s="15" t="s">
        <v>83</v>
      </c>
      <c r="B20" s="126" t="s">
        <v>50</v>
      </c>
      <c r="C20" s="22"/>
    </row>
    <row r="21" spans="1:5" x14ac:dyDescent="0.25">
      <c r="A21" s="18" t="s">
        <v>84</v>
      </c>
      <c r="B21" s="127">
        <f>'Inputs summary'!B20</f>
        <v>13.75</v>
      </c>
      <c r="C21" s="16"/>
      <c r="D21" s="43"/>
      <c r="E21" s="17"/>
    </row>
    <row r="22" spans="1:5" ht="15.75" thickBot="1" x14ac:dyDescent="0.3">
      <c r="A22" s="19" t="s">
        <v>67</v>
      </c>
      <c r="B22" s="128">
        <f>'Inputs summary'!B25</f>
        <v>0.53</v>
      </c>
      <c r="C22" s="25"/>
      <c r="D22" s="44"/>
    </row>
    <row r="23" spans="1:5" ht="15.75" customHeight="1" x14ac:dyDescent="0.25">
      <c r="B23" s="22"/>
      <c r="C23" s="22"/>
    </row>
    <row r="24" spans="1:5" ht="15.75" customHeight="1" thickBot="1" x14ac:dyDescent="0.3">
      <c r="A24" s="13" t="s">
        <v>85</v>
      </c>
      <c r="B24" s="22"/>
      <c r="C24" s="22"/>
    </row>
    <row r="25" spans="1:5" ht="15.75" customHeight="1" thickBot="1" x14ac:dyDescent="0.3">
      <c r="A25" s="21"/>
      <c r="B25" s="126" t="s">
        <v>50</v>
      </c>
      <c r="C25" s="22"/>
    </row>
    <row r="26" spans="1:5" ht="15.75" customHeight="1" x14ac:dyDescent="0.25">
      <c r="A26" s="38" t="s">
        <v>86</v>
      </c>
      <c r="B26" s="130">
        <f>B4+(B5*(B8+B11+(B12*B15+B18+B21)))</f>
        <v>595.5</v>
      </c>
      <c r="C26" s="28"/>
    </row>
    <row r="27" spans="1:5" ht="15.75" customHeight="1" thickBot="1" x14ac:dyDescent="0.3">
      <c r="A27" s="39" t="s">
        <v>87</v>
      </c>
      <c r="B27" s="131">
        <f>B11+(B12*B15+B18+B21)</f>
        <v>291.875</v>
      </c>
      <c r="C27" s="28"/>
    </row>
    <row r="28" spans="1:5" ht="15.75" customHeight="1" x14ac:dyDescent="0.25">
      <c r="B28" s="22"/>
      <c r="C28" s="22"/>
    </row>
    <row r="29" spans="1:5" ht="15.75" customHeight="1" thickBot="1" x14ac:dyDescent="0.3">
      <c r="A29" s="13" t="s">
        <v>88</v>
      </c>
      <c r="B29" s="22"/>
      <c r="C29" s="22"/>
    </row>
    <row r="30" spans="1:5" ht="15.75" thickBot="1" x14ac:dyDescent="0.3">
      <c r="A30" s="21"/>
      <c r="B30" s="126" t="s">
        <v>50</v>
      </c>
      <c r="C30" s="22"/>
    </row>
    <row r="31" spans="1:5" x14ac:dyDescent="0.25">
      <c r="A31" s="38" t="s">
        <v>89</v>
      </c>
      <c r="B31" s="130">
        <f>B5*B12*B22*100</f>
        <v>42.930000000000007</v>
      </c>
      <c r="C31" s="29"/>
      <c r="D31" s="42"/>
    </row>
    <row r="32" spans="1:5" ht="15.75" thickBot="1" x14ac:dyDescent="0.3">
      <c r="A32" s="39" t="s">
        <v>90</v>
      </c>
      <c r="B32" s="131">
        <f>B12*B22*100</f>
        <v>47.7</v>
      </c>
      <c r="C32" s="29"/>
      <c r="D32" s="45"/>
      <c r="E32" s="27"/>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AF33A3-DCB1-420F-BE07-8F7E4E71AAE5}">
  <dimension ref="A1:N72"/>
  <sheetViews>
    <sheetView zoomScale="80" zoomScaleNormal="80" workbookViewId="0">
      <selection activeCell="H3" sqref="H3"/>
    </sheetView>
  </sheetViews>
  <sheetFormatPr defaultColWidth="9.28515625" defaultRowHeight="15" x14ac:dyDescent="0.25"/>
  <cols>
    <col min="1" max="1" width="61.28515625" style="31" customWidth="1"/>
    <col min="2" max="2" width="55" style="31" customWidth="1"/>
    <col min="3" max="3" width="3.7109375" style="31" customWidth="1"/>
    <col min="4" max="4" width="4" style="31" customWidth="1"/>
    <col min="5" max="5" width="17.7109375" style="31" customWidth="1"/>
    <col min="6" max="6" width="16.7109375" style="31" customWidth="1"/>
    <col min="7" max="7" width="19.28515625" style="31" customWidth="1"/>
    <col min="8" max="8" width="10.28515625" style="31" customWidth="1"/>
    <col min="9" max="9" width="21.28515625" style="31" customWidth="1"/>
    <col min="10" max="10" width="27.42578125" style="31" customWidth="1"/>
    <col min="11" max="11" width="22.5703125" style="31" customWidth="1"/>
    <col min="12" max="16384" width="9.28515625" style="31"/>
  </cols>
  <sheetData>
    <row r="1" spans="1:14" ht="22.5" customHeight="1" x14ac:dyDescent="0.5">
      <c r="A1" s="70"/>
    </row>
    <row r="2" spans="1:14" ht="28.5" x14ac:dyDescent="0.45">
      <c r="A2" s="69"/>
      <c r="I2" s="87"/>
      <c r="J2" s="88"/>
    </row>
    <row r="3" spans="1:14" ht="30.75" customHeight="1" x14ac:dyDescent="0.3">
      <c r="I3" s="88"/>
      <c r="J3" s="88"/>
    </row>
    <row r="4" spans="1:14" ht="24" customHeight="1" x14ac:dyDescent="0.3">
      <c r="I4" s="88"/>
      <c r="J4" s="88"/>
    </row>
    <row r="5" spans="1:14" ht="31.5" customHeight="1" x14ac:dyDescent="0.25"/>
    <row r="6" spans="1:14" ht="29.25" customHeight="1" x14ac:dyDescent="0.3">
      <c r="I6" s="86"/>
      <c r="J6" s="86"/>
    </row>
    <row r="7" spans="1:14" x14ac:dyDescent="0.25">
      <c r="I7" s="32"/>
      <c r="J7" s="32"/>
    </row>
    <row r="8" spans="1:14" ht="24" thickBot="1" x14ac:dyDescent="0.3">
      <c r="I8" s="85"/>
      <c r="J8" s="85"/>
    </row>
    <row r="9" spans="1:14" ht="57.75" customHeight="1" thickBot="1" x14ac:dyDescent="0.35">
      <c r="E9" s="261" t="s">
        <v>148</v>
      </c>
      <c r="F9" s="262"/>
      <c r="G9" s="272">
        <f>'User Input'!B10</f>
        <v>157</v>
      </c>
      <c r="H9" s="273"/>
      <c r="I9" s="85"/>
      <c r="J9" s="85"/>
    </row>
    <row r="10" spans="1:14" ht="10.5" customHeight="1" x14ac:dyDescent="0.25"/>
    <row r="11" spans="1:14" s="35" customFormat="1" ht="26.25" x14ac:dyDescent="0.4">
      <c r="A11" s="56" t="s">
        <v>91</v>
      </c>
    </row>
    <row r="12" spans="1:14" ht="12" customHeight="1" thickBot="1" x14ac:dyDescent="0.3">
      <c r="A12" s="30"/>
    </row>
    <row r="13" spans="1:14" ht="23.25" customHeight="1" x14ac:dyDescent="0.25">
      <c r="A13" s="30"/>
      <c r="B13" s="187" t="s">
        <v>92</v>
      </c>
      <c r="C13" s="37"/>
      <c r="E13" s="189" t="s">
        <v>93</v>
      </c>
      <c r="F13" s="190"/>
      <c r="G13" s="191"/>
      <c r="K13" s="37"/>
      <c r="L13" s="37"/>
      <c r="M13" s="37"/>
      <c r="N13" s="37"/>
    </row>
    <row r="14" spans="1:14" ht="18.75" customHeight="1" thickBot="1" x14ac:dyDescent="0.3">
      <c r="A14" s="30"/>
      <c r="B14" s="188"/>
      <c r="C14" s="36"/>
      <c r="E14" s="192"/>
      <c r="F14" s="193"/>
      <c r="G14" s="194"/>
      <c r="K14" s="36"/>
      <c r="L14" s="36"/>
      <c r="M14" s="36"/>
      <c r="N14" s="36"/>
    </row>
    <row r="15" spans="1:14" ht="21.75" thickBot="1" x14ac:dyDescent="0.4">
      <c r="A15" s="90" t="s">
        <v>94</v>
      </c>
      <c r="B15" s="115" t="s">
        <v>95</v>
      </c>
      <c r="D15" s="58"/>
      <c r="E15" s="216" t="s">
        <v>96</v>
      </c>
      <c r="F15" s="217"/>
      <c r="G15" s="218"/>
      <c r="I15" s="240" t="s">
        <v>97</v>
      </c>
      <c r="J15" s="241"/>
      <c r="K15" s="242"/>
    </row>
    <row r="16" spans="1:14" ht="21.75" thickBot="1" x14ac:dyDescent="0.4">
      <c r="A16" s="140" t="s">
        <v>98</v>
      </c>
      <c r="B16" s="137" t="s">
        <v>99</v>
      </c>
      <c r="D16" s="59"/>
      <c r="E16" s="208" t="s">
        <v>99</v>
      </c>
      <c r="F16" s="209"/>
      <c r="G16" s="210"/>
      <c r="I16" s="263"/>
      <c r="J16" s="264"/>
      <c r="K16" s="265"/>
    </row>
    <row r="17" spans="1:11" ht="21" x14ac:dyDescent="0.35">
      <c r="A17" s="67" t="s">
        <v>100</v>
      </c>
      <c r="B17" s="95">
        <f>'Cost+CODIS calculations by step'!B26*100</f>
        <v>59550</v>
      </c>
      <c r="D17" s="60"/>
      <c r="E17" s="222">
        <f>B17*$G$9</f>
        <v>9349350</v>
      </c>
      <c r="F17" s="223"/>
      <c r="G17" s="224"/>
      <c r="I17" s="266"/>
      <c r="J17" s="267"/>
      <c r="K17" s="268"/>
    </row>
    <row r="18" spans="1:11" ht="21" x14ac:dyDescent="0.35">
      <c r="A18" s="67" t="s">
        <v>101</v>
      </c>
      <c r="B18" s="96">
        <f>('Cost+CODIS calculations by step'!B26*(B23/100))+(((100-B23)/100)*'Cost+CODIS calculations by step'!B26*'Inputs summary'!$B$30)*100</f>
        <v>68226.018149999989</v>
      </c>
      <c r="D18" s="60"/>
      <c r="E18" s="225">
        <f>B18*$G$9</f>
        <v>10711484.849549998</v>
      </c>
      <c r="F18" s="226"/>
      <c r="G18" s="227"/>
      <c r="I18" s="266"/>
      <c r="J18" s="267"/>
      <c r="K18" s="268"/>
    </row>
    <row r="19" spans="1:11" ht="21" x14ac:dyDescent="0.35">
      <c r="A19" s="67" t="s">
        <v>102</v>
      </c>
      <c r="B19" s="96">
        <f>'Cost+CODIS calculations by step'!B27*100</f>
        <v>29187.5</v>
      </c>
      <c r="D19" s="60"/>
      <c r="E19" s="225">
        <f>B19*$G$9</f>
        <v>4582437.5</v>
      </c>
      <c r="F19" s="226"/>
      <c r="G19" s="227"/>
      <c r="I19" s="266"/>
      <c r="J19" s="267"/>
      <c r="K19" s="268"/>
    </row>
    <row r="20" spans="1:11" ht="21.75" thickBot="1" x14ac:dyDescent="0.4">
      <c r="A20" s="68" t="s">
        <v>103</v>
      </c>
      <c r="B20" s="97">
        <f>('Cost+CODIS calculations by step'!B27*(B25/100))+((100-B25)/100)*('Cost+CODIS calculations by step'!B27*'Inputs summary'!$B$30)*100</f>
        <v>30669.349375000005</v>
      </c>
      <c r="D20" s="60"/>
      <c r="E20" s="228">
        <f>B20*$G$9</f>
        <v>4815087.8518750006</v>
      </c>
      <c r="F20" s="229"/>
      <c r="G20" s="230"/>
      <c r="I20" s="269"/>
      <c r="J20" s="270"/>
      <c r="K20" s="271"/>
    </row>
    <row r="21" spans="1:11" ht="21.75" thickBot="1" x14ac:dyDescent="0.4">
      <c r="A21" s="89" t="s">
        <v>104</v>
      </c>
      <c r="B21" s="115" t="s">
        <v>126</v>
      </c>
      <c r="D21" s="61"/>
      <c r="E21" s="216" t="s">
        <v>105</v>
      </c>
      <c r="F21" s="217"/>
      <c r="G21" s="218"/>
      <c r="I21" s="240" t="s">
        <v>97</v>
      </c>
      <c r="J21" s="241"/>
      <c r="K21" s="242"/>
    </row>
    <row r="22" spans="1:11" ht="21.75" thickBot="1" x14ac:dyDescent="0.4">
      <c r="A22" s="140" t="s">
        <v>98</v>
      </c>
      <c r="B22" s="136" t="s">
        <v>99</v>
      </c>
      <c r="D22" s="62"/>
      <c r="E22" s="208" t="s">
        <v>99</v>
      </c>
      <c r="F22" s="209"/>
      <c r="G22" s="210"/>
      <c r="I22" s="252"/>
      <c r="J22" s="253"/>
      <c r="K22" s="254"/>
    </row>
    <row r="23" spans="1:11" ht="21" x14ac:dyDescent="0.35">
      <c r="A23" s="67" t="s">
        <v>100</v>
      </c>
      <c r="B23" s="63">
        <f>'Cost+CODIS calculations by step'!B31</f>
        <v>42.930000000000007</v>
      </c>
      <c r="D23" s="62"/>
      <c r="E23" s="205">
        <f>(B23/100)*$G$9</f>
        <v>67.400100000000009</v>
      </c>
      <c r="F23" s="206"/>
      <c r="G23" s="207"/>
      <c r="I23" s="255"/>
      <c r="J23" s="256"/>
      <c r="K23" s="257"/>
    </row>
    <row r="24" spans="1:11" ht="21" x14ac:dyDescent="0.35">
      <c r="A24" s="67" t="s">
        <v>101</v>
      </c>
      <c r="B24" s="64">
        <f>'Cost+CODIS calculations by step'!B31+((100-'Cost+CODIS calculations by step'!B31)*'Inputs summary'!$B$31)</f>
        <v>44.356750000000005</v>
      </c>
      <c r="D24" s="62"/>
      <c r="E24" s="199">
        <f>(B24/100)*$G$9</f>
        <v>69.64009750000001</v>
      </c>
      <c r="F24" s="200"/>
      <c r="G24" s="201"/>
      <c r="I24" s="255"/>
      <c r="J24" s="256"/>
      <c r="K24" s="257"/>
    </row>
    <row r="25" spans="1:11" ht="21" x14ac:dyDescent="0.35">
      <c r="A25" s="67" t="s">
        <v>102</v>
      </c>
      <c r="B25" s="64">
        <f>'Cost+CODIS calculations by step'!B32</f>
        <v>47.7</v>
      </c>
      <c r="D25" s="62"/>
      <c r="E25" s="199">
        <f>(B25/100)*$G$9</f>
        <v>74.88900000000001</v>
      </c>
      <c r="F25" s="200"/>
      <c r="G25" s="201"/>
      <c r="I25" s="255"/>
      <c r="J25" s="256"/>
      <c r="K25" s="257"/>
    </row>
    <row r="26" spans="1:11" ht="21.75" thickBot="1" x14ac:dyDescent="0.4">
      <c r="A26" s="68" t="s">
        <v>103</v>
      </c>
      <c r="B26" s="65">
        <f>'Cost+CODIS calculations by step'!B32+((100-'Cost+CODIS calculations by step'!B32)*'Inputs summary'!$B$31)</f>
        <v>49.0075</v>
      </c>
      <c r="D26" s="62"/>
      <c r="E26" s="202">
        <f>(B26/100)*$G$9</f>
        <v>76.941774999999993</v>
      </c>
      <c r="F26" s="203"/>
      <c r="G26" s="204"/>
      <c r="I26" s="258"/>
      <c r="J26" s="259"/>
      <c r="K26" s="260"/>
    </row>
    <row r="27" spans="1:11" ht="42.75" customHeight="1" thickBot="1" x14ac:dyDescent="0.4">
      <c r="A27" s="89" t="s">
        <v>106</v>
      </c>
      <c r="B27" s="116" t="s">
        <v>107</v>
      </c>
      <c r="D27" s="61"/>
      <c r="E27" s="219" t="s">
        <v>108</v>
      </c>
      <c r="F27" s="220"/>
      <c r="G27" s="221"/>
      <c r="I27" s="211" t="s">
        <v>97</v>
      </c>
      <c r="J27" s="212"/>
      <c r="K27" s="213"/>
    </row>
    <row r="28" spans="1:11" ht="21.75" thickBot="1" x14ac:dyDescent="0.4">
      <c r="A28" s="140" t="s">
        <v>98</v>
      </c>
      <c r="B28" s="136" t="s">
        <v>99</v>
      </c>
      <c r="D28" s="59"/>
      <c r="E28" s="208" t="s">
        <v>99</v>
      </c>
      <c r="F28" s="209"/>
      <c r="G28" s="210"/>
      <c r="I28" s="252"/>
      <c r="J28" s="253"/>
      <c r="K28" s="254"/>
    </row>
    <row r="29" spans="1:11" ht="21" x14ac:dyDescent="0.35">
      <c r="A29" s="67" t="s">
        <v>100</v>
      </c>
      <c r="B29" s="63">
        <f>(('User Input'!$B$13+'User Input'!$B$14)/'User Input'!$B$11)*Results!B23</f>
        <v>15.377910447761195</v>
      </c>
      <c r="D29" s="59"/>
      <c r="E29" s="205">
        <f>(('User Input'!$B$13+'User Input'!$B$14)/'User Input'!$B$11)*Results!E23</f>
        <v>24.143319402985078</v>
      </c>
      <c r="F29" s="206"/>
      <c r="G29" s="207"/>
      <c r="I29" s="255"/>
      <c r="J29" s="256"/>
      <c r="K29" s="257"/>
    </row>
    <row r="30" spans="1:11" ht="21" x14ac:dyDescent="0.35">
      <c r="A30" s="67" t="s">
        <v>101</v>
      </c>
      <c r="B30" s="64">
        <f>(('User Input'!$B$13+'User Input'!$B$14)/'User Input'!$B$11)*Results!B24</f>
        <v>15.888985074626866</v>
      </c>
      <c r="D30" s="66"/>
      <c r="E30" s="199">
        <f>(('User Input'!$B$13+'User Input'!$B$14)/'User Input'!$B$11)*Results!E24</f>
        <v>24.94570656716418</v>
      </c>
      <c r="F30" s="200"/>
      <c r="G30" s="201"/>
      <c r="I30" s="255"/>
      <c r="J30" s="256"/>
      <c r="K30" s="257"/>
    </row>
    <row r="31" spans="1:11" ht="21" x14ac:dyDescent="0.35">
      <c r="A31" s="67" t="s">
        <v>102</v>
      </c>
      <c r="B31" s="64">
        <f>(('User Input'!$B$13+'User Input'!$B$14)/'User Input'!$B$11)*Results!B25</f>
        <v>17.086567164179105</v>
      </c>
      <c r="D31" s="66"/>
      <c r="E31" s="199">
        <f>(('User Input'!$B$13+'User Input'!$B$14)/'User Input'!$B$11)*Results!E25</f>
        <v>26.825910447761196</v>
      </c>
      <c r="F31" s="200"/>
      <c r="G31" s="201"/>
      <c r="I31" s="255"/>
      <c r="J31" s="256"/>
      <c r="K31" s="257"/>
    </row>
    <row r="32" spans="1:11" ht="21.75" thickBot="1" x14ac:dyDescent="0.4">
      <c r="A32" s="68" t="s">
        <v>103</v>
      </c>
      <c r="B32" s="65">
        <f>(('User Input'!$B$13+'User Input'!$B$14)/'User Input'!$B$11)*Results!B26</f>
        <v>17.554925373134328</v>
      </c>
      <c r="D32" s="66"/>
      <c r="E32" s="202">
        <f>(('User Input'!$B$13+'User Input'!$B$14)/'User Input'!$B$11)*Results!E26</f>
        <v>27.561232835820892</v>
      </c>
      <c r="F32" s="203"/>
      <c r="G32" s="204"/>
      <c r="I32" s="258"/>
      <c r="J32" s="259"/>
      <c r="K32" s="260"/>
    </row>
    <row r="33" spans="1:9" x14ac:dyDescent="0.25">
      <c r="B33" s="48"/>
      <c r="D33" s="34"/>
    </row>
    <row r="34" spans="1:9" s="35" customFormat="1" ht="26.25" x14ac:dyDescent="0.4">
      <c r="A34" s="56" t="s">
        <v>109</v>
      </c>
      <c r="E34" s="84"/>
      <c r="F34" s="84"/>
    </row>
    <row r="35" spans="1:9" ht="21.75" thickBot="1" x14ac:dyDescent="0.3">
      <c r="A35" s="81"/>
      <c r="B35" s="82"/>
      <c r="D35" s="33"/>
      <c r="E35" s="99"/>
      <c r="F35" s="99"/>
      <c r="G35" s="99"/>
    </row>
    <row r="36" spans="1:9" ht="48.75" customHeight="1" thickBot="1" x14ac:dyDescent="0.3">
      <c r="A36" s="195" t="s">
        <v>127</v>
      </c>
      <c r="B36" s="196"/>
      <c r="D36" s="211" t="s">
        <v>97</v>
      </c>
      <c r="E36" s="212"/>
      <c r="F36" s="212"/>
      <c r="G36" s="212"/>
      <c r="H36" s="213"/>
    </row>
    <row r="37" spans="1:9" ht="21.75" thickBot="1" x14ac:dyDescent="0.4">
      <c r="A37" s="138" t="s">
        <v>98</v>
      </c>
      <c r="B37" s="137" t="s">
        <v>99</v>
      </c>
      <c r="D37" s="231"/>
      <c r="E37" s="232"/>
      <c r="F37" s="232"/>
      <c r="G37" s="232"/>
      <c r="H37" s="233"/>
    </row>
    <row r="38" spans="1:9" ht="42" x14ac:dyDescent="0.25">
      <c r="A38" s="71" t="s">
        <v>110</v>
      </c>
      <c r="B38" s="91">
        <f>B18-B17</f>
        <v>8676.018149999989</v>
      </c>
      <c r="D38" s="234"/>
      <c r="E38" s="235"/>
      <c r="F38" s="235"/>
      <c r="G38" s="235"/>
      <c r="H38" s="236"/>
    </row>
    <row r="39" spans="1:9" ht="31.5" customHeight="1" x14ac:dyDescent="0.25">
      <c r="A39" s="72" t="s">
        <v>111</v>
      </c>
      <c r="B39" s="92">
        <f>B19-B17</f>
        <v>-30362.5</v>
      </c>
      <c r="D39" s="234"/>
      <c r="E39" s="235"/>
      <c r="F39" s="235"/>
      <c r="G39" s="235"/>
      <c r="H39" s="236"/>
    </row>
    <row r="40" spans="1:9" ht="42" x14ac:dyDescent="0.25">
      <c r="A40" s="72" t="s">
        <v>112</v>
      </c>
      <c r="B40" s="92">
        <f>B20-B17</f>
        <v>-28880.650624999995</v>
      </c>
      <c r="D40" s="234"/>
      <c r="E40" s="235"/>
      <c r="F40" s="235"/>
      <c r="G40" s="235"/>
      <c r="H40" s="236"/>
    </row>
    <row r="41" spans="1:9" ht="42" x14ac:dyDescent="0.25">
      <c r="A41" s="72" t="s">
        <v>113</v>
      </c>
      <c r="B41" s="92">
        <f>B19-B18</f>
        <v>-39038.518149999989</v>
      </c>
      <c r="D41" s="234"/>
      <c r="E41" s="235"/>
      <c r="F41" s="235"/>
      <c r="G41" s="235"/>
      <c r="H41" s="236"/>
    </row>
    <row r="42" spans="1:9" ht="42" x14ac:dyDescent="0.25">
      <c r="A42" s="72" t="s">
        <v>114</v>
      </c>
      <c r="B42" s="93">
        <f>B20-B18</f>
        <v>-37556.668774999984</v>
      </c>
      <c r="D42" s="234"/>
      <c r="E42" s="235"/>
      <c r="F42" s="235"/>
      <c r="G42" s="235"/>
      <c r="H42" s="236"/>
    </row>
    <row r="43" spans="1:9" ht="42.75" thickBot="1" x14ac:dyDescent="0.3">
      <c r="A43" s="73" t="s">
        <v>115</v>
      </c>
      <c r="B43" s="94">
        <f>B20-B19</f>
        <v>1481.8493750000052</v>
      </c>
      <c r="D43" s="237"/>
      <c r="E43" s="238"/>
      <c r="F43" s="238"/>
      <c r="G43" s="238"/>
      <c r="H43" s="239"/>
    </row>
    <row r="44" spans="1:9" ht="21.75" thickBot="1" x14ac:dyDescent="0.4">
      <c r="A44" s="57"/>
      <c r="B44" s="59"/>
      <c r="D44" s="33"/>
    </row>
    <row r="45" spans="1:9" ht="53.25" customHeight="1" thickBot="1" x14ac:dyDescent="0.4">
      <c r="A45" s="197" t="s">
        <v>128</v>
      </c>
      <c r="B45" s="198"/>
      <c r="D45" s="211" t="s">
        <v>97</v>
      </c>
      <c r="E45" s="212"/>
      <c r="F45" s="212"/>
      <c r="G45" s="212"/>
      <c r="H45" s="213"/>
      <c r="I45" s="80"/>
    </row>
    <row r="46" spans="1:9" ht="21.75" thickBot="1" x14ac:dyDescent="0.4">
      <c r="A46" s="139" t="s">
        <v>98</v>
      </c>
      <c r="B46" s="136" t="s">
        <v>99</v>
      </c>
      <c r="D46" s="231"/>
      <c r="E46" s="232"/>
      <c r="F46" s="232"/>
      <c r="G46" s="232"/>
      <c r="H46" s="233"/>
      <c r="I46" s="79"/>
    </row>
    <row r="47" spans="1:9" ht="42" x14ac:dyDescent="0.25">
      <c r="A47" s="71" t="s">
        <v>110</v>
      </c>
      <c r="B47" s="74">
        <f>B24-B23</f>
        <v>1.4267499999999984</v>
      </c>
      <c r="D47" s="234"/>
      <c r="E47" s="235"/>
      <c r="F47" s="235"/>
      <c r="G47" s="235"/>
      <c r="H47" s="236"/>
      <c r="I47" s="79"/>
    </row>
    <row r="48" spans="1:9" ht="29.25" customHeight="1" x14ac:dyDescent="0.25">
      <c r="A48" s="72" t="s">
        <v>111</v>
      </c>
      <c r="B48" s="75">
        <f>B25-B23</f>
        <v>4.769999999999996</v>
      </c>
      <c r="D48" s="234"/>
      <c r="E48" s="235"/>
      <c r="F48" s="235"/>
      <c r="G48" s="235"/>
      <c r="H48" s="236"/>
      <c r="I48" s="79"/>
    </row>
    <row r="49" spans="1:9" ht="42" x14ac:dyDescent="0.25">
      <c r="A49" s="72" t="s">
        <v>112</v>
      </c>
      <c r="B49" s="75">
        <f>B26-B23</f>
        <v>6.0774999999999935</v>
      </c>
      <c r="D49" s="234"/>
      <c r="E49" s="235"/>
      <c r="F49" s="235"/>
      <c r="G49" s="235"/>
      <c r="H49" s="236"/>
      <c r="I49" s="79"/>
    </row>
    <row r="50" spans="1:9" ht="42" x14ac:dyDescent="0.25">
      <c r="A50" s="72" t="s">
        <v>116</v>
      </c>
      <c r="B50" s="75">
        <f>B25-B24</f>
        <v>3.3432499999999976</v>
      </c>
      <c r="D50" s="234"/>
      <c r="E50" s="235"/>
      <c r="F50" s="235"/>
      <c r="G50" s="235"/>
      <c r="H50" s="236"/>
      <c r="I50" s="79"/>
    </row>
    <row r="51" spans="1:9" ht="42" x14ac:dyDescent="0.25">
      <c r="A51" s="72" t="s">
        <v>114</v>
      </c>
      <c r="B51" s="75">
        <f>B26-B24</f>
        <v>4.6507499999999951</v>
      </c>
      <c r="D51" s="234"/>
      <c r="E51" s="235"/>
      <c r="F51" s="235"/>
      <c r="G51" s="235"/>
      <c r="H51" s="236"/>
      <c r="I51" s="79"/>
    </row>
    <row r="52" spans="1:9" ht="42.75" thickBot="1" x14ac:dyDescent="0.3">
      <c r="A52" s="73" t="s">
        <v>115</v>
      </c>
      <c r="B52" s="76">
        <f>B26-B25</f>
        <v>1.3074999999999974</v>
      </c>
      <c r="D52" s="237"/>
      <c r="E52" s="238"/>
      <c r="F52" s="238"/>
      <c r="G52" s="238"/>
      <c r="H52" s="239"/>
      <c r="I52" s="79"/>
    </row>
    <row r="53" spans="1:9" ht="21.75" thickBot="1" x14ac:dyDescent="0.4">
      <c r="A53" s="57"/>
      <c r="B53" s="59"/>
      <c r="D53" s="33"/>
    </row>
    <row r="54" spans="1:9" ht="56.25" customHeight="1" thickBot="1" x14ac:dyDescent="0.4">
      <c r="A54" s="197" t="s">
        <v>129</v>
      </c>
      <c r="B54" s="198"/>
      <c r="D54" s="211" t="s">
        <v>97</v>
      </c>
      <c r="E54" s="212"/>
      <c r="F54" s="212"/>
      <c r="G54" s="212"/>
      <c r="H54" s="213"/>
      <c r="I54" s="80"/>
    </row>
    <row r="55" spans="1:9" ht="25.5" customHeight="1" thickBot="1" x14ac:dyDescent="0.4">
      <c r="A55" s="139" t="s">
        <v>98</v>
      </c>
      <c r="B55" s="136" t="s">
        <v>99</v>
      </c>
      <c r="D55" s="231"/>
      <c r="E55" s="232"/>
      <c r="F55" s="232"/>
      <c r="G55" s="232"/>
      <c r="H55" s="233"/>
      <c r="I55" s="79"/>
    </row>
    <row r="56" spans="1:9" ht="42.75" customHeight="1" x14ac:dyDescent="0.25">
      <c r="A56" s="71" t="s">
        <v>110</v>
      </c>
      <c r="B56" s="91">
        <f>(B18-B17)/(B24-B23)</f>
        <v>6080.965936569125</v>
      </c>
      <c r="D56" s="234"/>
      <c r="E56" s="235"/>
      <c r="F56" s="235"/>
      <c r="G56" s="235"/>
      <c r="H56" s="236"/>
      <c r="I56" s="79"/>
    </row>
    <row r="57" spans="1:9" ht="33.75" customHeight="1" x14ac:dyDescent="0.25">
      <c r="A57" s="72" t="s">
        <v>117</v>
      </c>
      <c r="B57" s="92">
        <f>(B19-B17)/(B25-B23)</f>
        <v>-6365.3039832285167</v>
      </c>
      <c r="D57" s="234"/>
      <c r="E57" s="235"/>
      <c r="F57" s="235"/>
      <c r="G57" s="235"/>
      <c r="H57" s="236"/>
      <c r="I57" s="79"/>
    </row>
    <row r="58" spans="1:9" ht="45.75" customHeight="1" x14ac:dyDescent="0.25">
      <c r="A58" s="72" t="s">
        <v>112</v>
      </c>
      <c r="B58" s="92">
        <f>(B20-B17)/(B26-B23)</f>
        <v>-4752.0609831345164</v>
      </c>
      <c r="D58" s="234"/>
      <c r="E58" s="235"/>
      <c r="F58" s="235"/>
      <c r="G58" s="235"/>
      <c r="H58" s="236"/>
      <c r="I58" s="79"/>
    </row>
    <row r="59" spans="1:9" ht="48" customHeight="1" x14ac:dyDescent="0.25">
      <c r="A59" s="72" t="s">
        <v>113</v>
      </c>
      <c r="B59" s="92">
        <f>(B19-B18)/(B25-B24)</f>
        <v>-11676.816914678835</v>
      </c>
      <c r="D59" s="234"/>
      <c r="E59" s="235"/>
      <c r="F59" s="235"/>
      <c r="G59" s="235"/>
      <c r="H59" s="236"/>
      <c r="I59" s="79"/>
    </row>
    <row r="60" spans="1:9" ht="51.75" customHeight="1" x14ac:dyDescent="0.25">
      <c r="A60" s="72" t="s">
        <v>114</v>
      </c>
      <c r="B60" s="93">
        <f>(B20-B18)/(B26-B24)</f>
        <v>-8075.4004784174649</v>
      </c>
      <c r="D60" s="234"/>
      <c r="E60" s="235"/>
      <c r="F60" s="235"/>
      <c r="G60" s="235"/>
      <c r="H60" s="236"/>
      <c r="I60" s="79"/>
    </row>
    <row r="61" spans="1:9" ht="42.75" thickBot="1" x14ac:dyDescent="0.3">
      <c r="A61" s="73" t="s">
        <v>118</v>
      </c>
      <c r="B61" s="94">
        <f>(B20-B19)/(B26-B25)</f>
        <v>1133.3456022944613</v>
      </c>
      <c r="D61" s="237"/>
      <c r="E61" s="238"/>
      <c r="F61" s="238"/>
      <c r="G61" s="238"/>
      <c r="H61" s="239"/>
      <c r="I61" s="79"/>
    </row>
    <row r="62" spans="1:9" x14ac:dyDescent="0.25">
      <c r="B62" s="10"/>
      <c r="D62" s="10"/>
    </row>
    <row r="63" spans="1:9" s="35" customFormat="1" ht="26.25" x14ac:dyDescent="0.4">
      <c r="A63" s="56" t="s">
        <v>119</v>
      </c>
    </row>
    <row r="64" spans="1:9" ht="15.75" thickBot="1" x14ac:dyDescent="0.3">
      <c r="B64" s="48"/>
      <c r="D64" s="34"/>
    </row>
    <row r="65" spans="1:11" ht="22.5" customHeight="1" thickBot="1" x14ac:dyDescent="0.4">
      <c r="A65" s="214" t="s">
        <v>120</v>
      </c>
      <c r="B65" s="215"/>
      <c r="D65" s="240" t="s">
        <v>97</v>
      </c>
      <c r="E65" s="241"/>
      <c r="F65" s="241"/>
      <c r="G65" s="241"/>
      <c r="H65" s="241"/>
      <c r="I65" s="241"/>
      <c r="J65" s="241"/>
      <c r="K65" s="242"/>
    </row>
    <row r="66" spans="1:11" ht="27.75" customHeight="1" thickBot="1" x14ac:dyDescent="0.4">
      <c r="A66" s="138" t="s">
        <v>98</v>
      </c>
      <c r="B66" s="136" t="s">
        <v>99</v>
      </c>
      <c r="D66" s="243"/>
      <c r="E66" s="244"/>
      <c r="F66" s="244"/>
      <c r="G66" s="244"/>
      <c r="H66" s="244"/>
      <c r="I66" s="244"/>
      <c r="J66" s="244"/>
      <c r="K66" s="245"/>
    </row>
    <row r="67" spans="1:11" ht="21" x14ac:dyDescent="0.25">
      <c r="A67" s="83" t="s">
        <v>100</v>
      </c>
      <c r="B67" s="91">
        <f>100*B17/B23</f>
        <v>138714.18588399718</v>
      </c>
      <c r="D67" s="246"/>
      <c r="E67" s="247"/>
      <c r="F67" s="247"/>
      <c r="G67" s="247"/>
      <c r="H67" s="247"/>
      <c r="I67" s="247"/>
      <c r="J67" s="247"/>
      <c r="K67" s="248"/>
    </row>
    <row r="68" spans="1:11" ht="21" x14ac:dyDescent="0.25">
      <c r="A68" s="77" t="s">
        <v>101</v>
      </c>
      <c r="B68" s="92">
        <f>100*B18/B24</f>
        <v>153812.03120156453</v>
      </c>
      <c r="D68" s="246"/>
      <c r="E68" s="247"/>
      <c r="F68" s="247"/>
      <c r="G68" s="247"/>
      <c r="H68" s="247"/>
      <c r="I68" s="247"/>
      <c r="J68" s="247"/>
      <c r="K68" s="248"/>
    </row>
    <row r="69" spans="1:11" ht="21" x14ac:dyDescent="0.25">
      <c r="A69" s="77" t="s">
        <v>102</v>
      </c>
      <c r="B69" s="92">
        <f>100*B19/B25</f>
        <v>61189.727463312367</v>
      </c>
      <c r="D69" s="246"/>
      <c r="E69" s="247"/>
      <c r="F69" s="247"/>
      <c r="G69" s="247"/>
      <c r="H69" s="247"/>
      <c r="I69" s="247"/>
      <c r="J69" s="247"/>
      <c r="K69" s="248"/>
    </row>
    <row r="70" spans="1:11" ht="21.75" thickBot="1" x14ac:dyDescent="0.3">
      <c r="A70" s="78" t="s">
        <v>103</v>
      </c>
      <c r="B70" s="94">
        <f>100*B20/B26</f>
        <v>62580.930214763059</v>
      </c>
      <c r="D70" s="249"/>
      <c r="E70" s="250"/>
      <c r="F70" s="250"/>
      <c r="G70" s="250"/>
      <c r="H70" s="250"/>
      <c r="I70" s="250"/>
      <c r="J70" s="250"/>
      <c r="K70" s="251"/>
    </row>
    <row r="71" spans="1:11" ht="21" x14ac:dyDescent="0.25">
      <c r="A71" s="81"/>
      <c r="B71" s="82"/>
      <c r="D71" s="33"/>
      <c r="E71" s="100"/>
      <c r="F71" s="100"/>
      <c r="G71" s="100"/>
    </row>
    <row r="72" spans="1:11" s="35" customFormat="1" ht="26.25" x14ac:dyDescent="0.4">
      <c r="A72" s="98" t="s">
        <v>121</v>
      </c>
    </row>
  </sheetData>
  <mergeCells count="40">
    <mergeCell ref="D55:H61"/>
    <mergeCell ref="D65:K65"/>
    <mergeCell ref="D66:K70"/>
    <mergeCell ref="I28:K32"/>
    <mergeCell ref="E9:F9"/>
    <mergeCell ref="I15:K15"/>
    <mergeCell ref="I16:K20"/>
    <mergeCell ref="I21:K21"/>
    <mergeCell ref="I22:K26"/>
    <mergeCell ref="I27:K27"/>
    <mergeCell ref="G9:H9"/>
    <mergeCell ref="A65:B65"/>
    <mergeCell ref="E15:G15"/>
    <mergeCell ref="E21:G21"/>
    <mergeCell ref="E27:G27"/>
    <mergeCell ref="E16:G16"/>
    <mergeCell ref="E17:G17"/>
    <mergeCell ref="E18:G18"/>
    <mergeCell ref="E19:G19"/>
    <mergeCell ref="E20:G20"/>
    <mergeCell ref="E22:G22"/>
    <mergeCell ref="E23:G23"/>
    <mergeCell ref="E24:G24"/>
    <mergeCell ref="D36:H36"/>
    <mergeCell ref="D37:H43"/>
    <mergeCell ref="D45:H45"/>
    <mergeCell ref="D46:H52"/>
    <mergeCell ref="B13:B14"/>
    <mergeCell ref="E13:G14"/>
    <mergeCell ref="A36:B36"/>
    <mergeCell ref="A45:B45"/>
    <mergeCell ref="A54:B54"/>
    <mergeCell ref="E25:G25"/>
    <mergeCell ref="E26:G26"/>
    <mergeCell ref="E29:G29"/>
    <mergeCell ref="E28:G28"/>
    <mergeCell ref="E30:G30"/>
    <mergeCell ref="E31:G31"/>
    <mergeCell ref="E32:G32"/>
    <mergeCell ref="D54:H54"/>
  </mergeCells>
  <phoneticPr fontId="3" type="noConversion"/>
  <conditionalFormatting sqref="B67:B71 B35">
    <cfRule type="colorScale" priority="80">
      <colorScale>
        <cfvo type="min"/>
        <cfvo type="max"/>
        <color rgb="FF63BE7B"/>
        <color rgb="FFFFEF9C"/>
      </colorScale>
    </cfRule>
  </conditionalFormatting>
  <conditionalFormatting sqref="E17:E20">
    <cfRule type="colorScale" priority="114">
      <colorScale>
        <cfvo type="min"/>
        <cfvo type="max"/>
        <color rgb="FF63BE7B"/>
        <color rgb="FFFFEF9C"/>
      </colorScale>
    </cfRule>
  </conditionalFormatting>
  <conditionalFormatting sqref="E17 E19">
    <cfRule type="colorScale" priority="113">
      <colorScale>
        <cfvo type="min"/>
        <cfvo type="max"/>
        <color rgb="FF63BE7B"/>
        <color rgb="FFFFEF9C"/>
      </colorScale>
    </cfRule>
  </conditionalFormatting>
  <conditionalFormatting sqref="E17:E20">
    <cfRule type="colorScale" priority="111">
      <colorScale>
        <cfvo type="min"/>
        <cfvo type="max"/>
        <color rgb="FF63BE7B"/>
        <color rgb="FFFFEF9C"/>
      </colorScale>
    </cfRule>
    <cfRule type="colorScale" priority="112">
      <colorScale>
        <cfvo type="min"/>
        <cfvo type="percentile" val="50"/>
        <cfvo type="max"/>
        <color rgb="FF63BE7B"/>
        <color rgb="FFFFEB84"/>
        <color rgb="FFF8696B"/>
      </colorScale>
    </cfRule>
  </conditionalFormatting>
  <conditionalFormatting sqref="E17">
    <cfRule type="colorScale" priority="110">
      <colorScale>
        <cfvo type="min"/>
        <cfvo type="max"/>
        <color rgb="FF63BE7B"/>
        <color rgb="FFFFEF9C"/>
      </colorScale>
    </cfRule>
  </conditionalFormatting>
  <conditionalFormatting sqref="E17:E20">
    <cfRule type="colorScale" priority="109">
      <colorScale>
        <cfvo type="min"/>
        <cfvo type="max"/>
        <color rgb="FF63BE7B"/>
        <color rgb="FFFFEF9C"/>
      </colorScale>
    </cfRule>
  </conditionalFormatting>
  <conditionalFormatting sqref="B23:B26">
    <cfRule type="colorScale" priority="96">
      <colorScale>
        <cfvo type="min"/>
        <cfvo type="max"/>
        <color rgb="FFFFEF9C"/>
        <color rgb="FF63BE7B"/>
      </colorScale>
    </cfRule>
  </conditionalFormatting>
  <conditionalFormatting sqref="E23:E26">
    <cfRule type="colorScale" priority="88">
      <colorScale>
        <cfvo type="min"/>
        <cfvo type="max"/>
        <color rgb="FFFFEF9C"/>
        <color rgb="FF63BE7B"/>
      </colorScale>
    </cfRule>
    <cfRule type="colorScale" priority="89">
      <colorScale>
        <cfvo type="min"/>
        <cfvo type="percentile" val="50"/>
        <cfvo type="max"/>
        <color rgb="FFF8696B"/>
        <color rgb="FFFFEB84"/>
        <color rgb="FF63BE7B"/>
      </colorScale>
    </cfRule>
  </conditionalFormatting>
  <conditionalFormatting sqref="E23:E26">
    <cfRule type="colorScale" priority="87">
      <colorScale>
        <cfvo type="min"/>
        <cfvo type="max"/>
        <color rgb="FFFFEF9C"/>
        <color rgb="FF63BE7B"/>
      </colorScale>
    </cfRule>
  </conditionalFormatting>
  <conditionalFormatting sqref="B29:B32">
    <cfRule type="colorScale" priority="71">
      <colorScale>
        <cfvo type="min"/>
        <cfvo type="max"/>
        <color rgb="FFFFEF9C"/>
        <color rgb="FF63BE7B"/>
      </colorScale>
    </cfRule>
    <cfRule type="colorScale" priority="72">
      <colorScale>
        <cfvo type="min"/>
        <cfvo type="percentile" val="50"/>
        <cfvo type="max"/>
        <color rgb="FFF8696B"/>
        <color rgb="FFFFEB84"/>
        <color rgb="FF63BE7B"/>
      </colorScale>
    </cfRule>
  </conditionalFormatting>
  <conditionalFormatting sqref="B29:B32">
    <cfRule type="colorScale" priority="70">
      <colorScale>
        <cfvo type="min"/>
        <cfvo type="max"/>
        <color rgb="FFFFEF9C"/>
        <color rgb="FF63BE7B"/>
      </colorScale>
    </cfRule>
  </conditionalFormatting>
  <conditionalFormatting sqref="E29:E32">
    <cfRule type="colorScale" priority="62">
      <colorScale>
        <cfvo type="min"/>
        <cfvo type="max"/>
        <color rgb="FFFFEF9C"/>
        <color rgb="FF63BE7B"/>
      </colorScale>
    </cfRule>
    <cfRule type="colorScale" priority="63">
      <colorScale>
        <cfvo type="min"/>
        <cfvo type="percentile" val="50"/>
        <cfvo type="max"/>
        <color rgb="FFF8696B"/>
        <color rgb="FFFFEB84"/>
        <color rgb="FF63BE7B"/>
      </colorScale>
    </cfRule>
  </conditionalFormatting>
  <conditionalFormatting sqref="E29:E32">
    <cfRule type="colorScale" priority="61">
      <colorScale>
        <cfvo type="min"/>
        <cfvo type="max"/>
        <color rgb="FFFFEF9C"/>
        <color rgb="FF63BE7B"/>
      </colorScale>
    </cfRule>
  </conditionalFormatting>
  <conditionalFormatting sqref="B47:B52">
    <cfRule type="colorScale" priority="53">
      <colorScale>
        <cfvo type="min"/>
        <cfvo type="max"/>
        <color rgb="FFFFEF9C"/>
        <color rgb="FF63BE7B"/>
      </colorScale>
    </cfRule>
    <cfRule type="colorScale" priority="54">
      <colorScale>
        <cfvo type="min"/>
        <cfvo type="percentile" val="50"/>
        <cfvo type="max"/>
        <color rgb="FFF8696B"/>
        <color rgb="FFFFEB84"/>
        <color rgb="FF63BE7B"/>
      </colorScale>
    </cfRule>
  </conditionalFormatting>
  <conditionalFormatting sqref="B47:B52">
    <cfRule type="colorScale" priority="52">
      <colorScale>
        <cfvo type="min"/>
        <cfvo type="max"/>
        <color rgb="FFFFEF9C"/>
        <color rgb="FF63BE7B"/>
      </colorScale>
    </cfRule>
  </conditionalFormatting>
  <conditionalFormatting sqref="B56:B61">
    <cfRule type="colorScale" priority="44">
      <colorScale>
        <cfvo type="min"/>
        <cfvo type="max"/>
        <color rgb="FF63BE7B"/>
        <color rgb="FFFFEF9C"/>
      </colorScale>
    </cfRule>
    <cfRule type="colorScale" priority="45">
      <colorScale>
        <cfvo type="min"/>
        <cfvo type="percentile" val="50"/>
        <cfvo type="max"/>
        <color rgb="FF63BE7B"/>
        <color rgb="FFFFEB84"/>
        <color rgb="FFF8696B"/>
      </colorScale>
    </cfRule>
  </conditionalFormatting>
  <conditionalFormatting sqref="B56:B61">
    <cfRule type="colorScale" priority="43">
      <colorScale>
        <cfvo type="min"/>
        <cfvo type="max"/>
        <color rgb="FF63BE7B"/>
        <color rgb="FFFFEF9C"/>
      </colorScale>
    </cfRule>
  </conditionalFormatting>
  <conditionalFormatting sqref="B38:B43">
    <cfRule type="colorScale" priority="20">
      <colorScale>
        <cfvo type="min"/>
        <cfvo type="max"/>
        <color rgb="FF63BE7B"/>
        <color rgb="FFFFEF9C"/>
      </colorScale>
    </cfRule>
    <cfRule type="colorScale" priority="21">
      <colorScale>
        <cfvo type="min"/>
        <cfvo type="percentile" val="50"/>
        <cfvo type="max"/>
        <color rgb="FF63BE7B"/>
        <color rgb="FFFFEB84"/>
        <color rgb="FFF8696B"/>
      </colorScale>
    </cfRule>
  </conditionalFormatting>
  <conditionalFormatting sqref="B38:B43">
    <cfRule type="colorScale" priority="19">
      <colorScale>
        <cfvo type="min"/>
        <cfvo type="max"/>
        <color rgb="FF63BE7B"/>
        <color rgb="FFFFEF9C"/>
      </colorScale>
    </cfRule>
  </conditionalFormatting>
  <conditionalFormatting sqref="B17:B20">
    <cfRule type="colorScale" priority="8">
      <colorScale>
        <cfvo type="min"/>
        <cfvo type="max"/>
        <color rgb="FF63BE7B"/>
        <color rgb="FFFFEF9C"/>
      </colorScale>
    </cfRule>
    <cfRule type="colorScale" priority="9">
      <colorScale>
        <cfvo type="min"/>
        <cfvo type="percentile" val="50"/>
        <cfvo type="max"/>
        <color rgb="FF63BE7B"/>
        <color rgb="FFFFEB84"/>
        <color rgb="FFF8696B"/>
      </colorScale>
    </cfRule>
  </conditionalFormatting>
  <conditionalFormatting sqref="B17:B20">
    <cfRule type="colorScale" priority="7">
      <colorScale>
        <cfvo type="min"/>
        <cfvo type="max"/>
        <color rgb="FF63BE7B"/>
        <color rgb="FFFFEF9C"/>
      </colorScale>
    </cfRule>
  </conditionalFormatting>
  <conditionalFormatting sqref="B23:B26">
    <cfRule type="colorScale" priority="166">
      <colorScale>
        <cfvo type="min"/>
        <cfvo type="max"/>
        <color rgb="FFFFEF9C"/>
        <color rgb="FF63BE7B"/>
      </colorScale>
    </cfRule>
    <cfRule type="colorScale" priority="167">
      <colorScale>
        <cfvo type="min"/>
        <cfvo type="percentile" val="50"/>
        <cfvo type="max"/>
        <color rgb="FFF8696B"/>
        <color rgb="FFFFEB84"/>
        <color rgb="FF63BE7B"/>
      </colorScale>
    </cfRule>
  </conditionalFormatting>
  <conditionalFormatting sqref="B67:B71 B35">
    <cfRule type="colorScale" priority="168">
      <colorScale>
        <cfvo type="min"/>
        <cfvo type="max"/>
        <color rgb="FF63BE7B"/>
        <color rgb="FFFFEF9C"/>
      </colorScale>
    </cfRule>
    <cfRule type="colorScale" priority="169">
      <colorScale>
        <cfvo type="min"/>
        <cfvo type="percentile" val="50"/>
        <cfvo type="max"/>
        <color rgb="FF63BE7B"/>
        <color rgb="FFFFEB84"/>
        <color rgb="FFF8696B"/>
      </colorScale>
    </cfRule>
  </conditionalFormatting>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C79DC6B6F4BC74DBBA024FE355E2295" ma:contentTypeVersion="16" ma:contentTypeDescription="Create a new document." ma:contentTypeScope="" ma:versionID="08c843ce9576b77452829524db512688">
  <xsd:schema xmlns:xsd="http://www.w3.org/2001/XMLSchema" xmlns:xs="http://www.w3.org/2001/XMLSchema" xmlns:p="http://schemas.microsoft.com/office/2006/metadata/properties" xmlns:ns2="5e1befbe-83cf-4d60-82fe-1913a3795f23" xmlns:ns3="40341e69-5321-41bd-b43a-9f109f429ca7" targetNamespace="http://schemas.microsoft.com/office/2006/metadata/properties" ma:root="true" ma:fieldsID="fda30d8f4eaa5318323a143b67721520" ns2:_="" ns3:_="">
    <xsd:import namespace="5e1befbe-83cf-4d60-82fe-1913a3795f23"/>
    <xsd:import namespace="40341e69-5321-41bd-b43a-9f109f429ca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1befbe-83cf-4d60-82fe-1913a3795f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3b40f3a-84d0-4acf-ad34-a39173ff9cc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0341e69-5321-41bd-b43a-9f109f429ca7"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d9a7d0d9-059b-40e4-b73b-038125d5f0f9}" ma:internalName="TaxCatchAll" ma:showField="CatchAllData" ma:web="40341e69-5321-41bd-b43a-9f109f429ca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40341e69-5321-41bd-b43a-9f109f429ca7" xsi:nil="true"/>
    <lcf76f155ced4ddcb4097134ff3c332f xmlns="5e1befbe-83cf-4d60-82fe-1913a3795f23">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867944E-27F9-4C72-A664-6EC598AC5E98}">
  <ds:schemaRefs>
    <ds:schemaRef ds:uri="http://schemas.microsoft.com/sharepoint/v3/contenttype/forms"/>
  </ds:schemaRefs>
</ds:datastoreItem>
</file>

<file path=customXml/itemProps2.xml><?xml version="1.0" encoding="utf-8"?>
<ds:datastoreItem xmlns:ds="http://schemas.openxmlformats.org/officeDocument/2006/customXml" ds:itemID="{C808BE66-548D-46A0-86B4-A204BE3D17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1befbe-83cf-4d60-82fe-1913a3795f23"/>
    <ds:schemaRef ds:uri="40341e69-5321-41bd-b43a-9f109f429c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D812342-8FB1-4FA4-A6D9-0C0C17225203}">
  <ds:schemaRefs>
    <ds:schemaRef ds:uri="http://schemas.microsoft.com/office/2006/documentManagement/types"/>
    <ds:schemaRef ds:uri="http://schemas.microsoft.com/office/2006/metadata/properties"/>
    <ds:schemaRef ds:uri="5e1befbe-83cf-4d60-82fe-1913a3795f23"/>
    <ds:schemaRef ds:uri="http://purl.org/dc/elements/1.1/"/>
    <ds:schemaRef ds:uri="40341e69-5321-41bd-b43a-9f109f429ca7"/>
    <ds:schemaRef ds:uri="http://schemas.openxmlformats.org/package/2006/metadata/core-properties"/>
    <ds:schemaRef ds:uri="http://purl.org/dc/term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User Input</vt:lpstr>
      <vt:lpstr>Inputs summary</vt:lpstr>
      <vt:lpstr>Cost+CODIS calculations by step</vt:lpstr>
      <vt:lpstr>Results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Mikalaa</dc:creator>
  <cp:keywords/>
  <dc:description/>
  <cp:lastModifiedBy>McKay, Jaclynn</cp:lastModifiedBy>
  <cp:revision/>
  <dcterms:created xsi:type="dcterms:W3CDTF">2021-09-27T13:03:32Z</dcterms:created>
  <dcterms:modified xsi:type="dcterms:W3CDTF">2022-09-06T21:00:34Z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0x0101000C79DC6B6F4BC74DBBA024FE355E2295</vt:lpwstr>
  </property>
  <property fmtid="{D5CDD505-2E9C-101B-9397-08002B2CF9AE}" pid="3" name="MediaServiceImageTags">
    <vt:lpwstr/>
  </property>
</Properties>
</file>